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202300"/>
  <mc:AlternateContent xmlns:mc="http://schemas.openxmlformats.org/markup-compatibility/2006">
    <mc:Choice Requires="x15">
      <x15ac:absPath xmlns:x15ac="http://schemas.microsoft.com/office/spreadsheetml/2010/11/ac" url="/Volumes/iamriedel backup/ConnectSX/Customers/ROI Spreadsheet 2024_TO-BE-MODIFIED-PER-CUSTOMER/"/>
    </mc:Choice>
  </mc:AlternateContent>
  <xr:revisionPtr revIDLastSave="0" documentId="13_ncr:1_{FB7BEC65-F3D5-904E-9C33-5473243BA726}" xr6:coauthVersionLast="47" xr6:coauthVersionMax="47" xr10:uidLastSave="{00000000-0000-0000-0000-000000000000}"/>
  <bookViews>
    <workbookView xWindow="3780" yWindow="-20320" windowWidth="31780" windowHeight="18880" activeTab="1" xr2:uid="{C638078B-C50B-5E4D-9B32-2F431E2E555F}"/>
  </bookViews>
  <sheets>
    <sheet name="ROI Dashboard" sheetId="1" r:id="rId1"/>
    <sheet name="Input Data"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30" i="2" l="1"/>
  <c r="N42" i="2"/>
  <c r="M42" i="2"/>
  <c r="L42" i="2"/>
  <c r="K42" i="2"/>
  <c r="O42" i="2" l="1"/>
  <c r="C33" i="1" s="1"/>
  <c r="F38" i="2"/>
  <c r="H38" i="2" s="1"/>
  <c r="C38" i="2"/>
  <c r="I34" i="2"/>
  <c r="J34" i="2" s="1"/>
  <c r="F34" i="2"/>
  <c r="G34" i="2"/>
  <c r="E10" i="2"/>
  <c r="E30" i="2"/>
  <c r="F30" i="2" s="1"/>
  <c r="F26" i="2"/>
  <c r="G26" i="2" s="1"/>
  <c r="H26" i="2" s="1"/>
  <c r="H22" i="2"/>
  <c r="E22" i="2"/>
  <c r="G22" i="2" s="1"/>
  <c r="C11" i="1" s="1"/>
  <c r="M18" i="2"/>
  <c r="D18" i="2"/>
  <c r="H18" i="2" s="1"/>
  <c r="C18" i="2"/>
  <c r="G18" i="2" s="1"/>
  <c r="C14" i="2"/>
  <c r="I10" i="2"/>
  <c r="J10" i="2" s="1"/>
  <c r="C20" i="1" s="1"/>
  <c r="G10" i="2"/>
  <c r="E6" i="2"/>
  <c r="F6" i="2" s="1"/>
  <c r="K34" i="2" l="1"/>
  <c r="C19" i="1"/>
  <c r="I18" i="2"/>
  <c r="K18" i="2" s="1"/>
  <c r="L18" i="2" s="1"/>
  <c r="J6" i="2"/>
  <c r="K6" i="2" s="1"/>
  <c r="L6" i="2" s="1"/>
  <c r="I38" i="2"/>
  <c r="J38" i="2" s="1"/>
  <c r="C15" i="1" s="1"/>
  <c r="H6" i="2"/>
  <c r="G30" i="2"/>
  <c r="N18" i="2"/>
  <c r="D14" i="2"/>
  <c r="E14" i="2" s="1"/>
  <c r="G14" i="2"/>
  <c r="C21" i="1" s="1"/>
  <c r="C7" i="1" l="1"/>
  <c r="C29" i="1" s="1"/>
  <c r="C30" i="1"/>
  <c r="C38" i="1" s="1"/>
  <c r="C6" i="1"/>
  <c r="C26" i="1" s="1"/>
  <c r="C28" i="1" s="1"/>
  <c r="C36" i="1" s="1"/>
  <c r="O18" i="2"/>
  <c r="Q18" i="2" s="1"/>
  <c r="P18" i="2"/>
  <c r="H14" i="2"/>
  <c r="C22" i="1" s="1"/>
  <c r="C27" i="1" s="1"/>
  <c r="C35" i="1" l="1"/>
  <c r="C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tc={5DD32FA4-4083-7240-90EB-52CB1392737C}</author>
    <author>tc={879E31A9-1613-8748-B6B1-8E86DE26093F}</author>
    <author>tc={1F66D593-968C-934D-A256-27B7B3B88F16}</author>
    <author>tc={AB86ECEC-B73B-4A4F-8A0B-5372A37B81DF}</author>
    <author>tc={CE61B82F-5457-3A4C-9499-65E22E0E60F4}</author>
    <author>tc={75C0CEE2-6EF4-C944-94A1-27A174D40756}</author>
    <author>tc={BA37587F-1671-2846-A1C5-BBD6DBDEF313}</author>
    <author>tc={09CB7FFC-FA26-E649-B2CF-71A0DBE09598}</author>
    <author>tc={1C7DE4A9-725C-C541-8AF4-E9957D3E7396}</author>
    <author>tc={1E7891FB-B91C-5844-85FF-E48792C826CC}</author>
  </authors>
  <commentList>
    <comment ref="G6" authorId="0" shapeId="0" xr:uid="{5DD32FA4-4083-7240-90EB-52CB1392737C}">
      <text>
        <r>
          <rPr>
            <sz val="12"/>
            <color theme="1"/>
            <rFont val="Aptos Narrow"/>
            <family val="2"/>
            <scheme val="minor"/>
          </rPr>
          <t>[Threaded comment]
Your version of Excel allows you to read this threaded comment; however, any edits to it will get removed if the file is opened in a newer version of Excel. Learn more: https://go.microsoft.com/fwlink/?linkid=870924
Comment:
    We believe it is important to use fully-burdened numbers since those are real costs to your business.</t>
        </r>
      </text>
    </comment>
    <comment ref="H10" authorId="1" shapeId="0" xr:uid="{879E31A9-1613-8748-B6B1-8E86DE26093F}">
      <text>
        <r>
          <rPr>
            <sz val="12"/>
            <color theme="1"/>
            <rFont val="Aptos Narrow"/>
            <family val="2"/>
            <scheme val="minor"/>
          </rPr>
          <t>[Threaded comment]
Your version of Excel allows you to read this threaded comment; however, any edits to it will get removed if the file is opened in a newer version of Excel. Learn more: https://go.microsoft.com/fwlink/?linkid=870924
Comment:
    When used effectively, ConnectSx can improve turns by 20% or more. This mean, if your annual inventory turn rate is 1.0, after implementation and adoption, we would expect to see turns of 1.2 or better. Keep in mind, this also requires process and practice changes outside of the software tools. We recommend using numbers that take both into account.</t>
        </r>
      </text>
    </comment>
    <comment ref="F14" authorId="2" shapeId="0" xr:uid="{1F66D593-968C-934D-A256-27B7B3B88F16}">
      <text>
        <r>
          <rPr>
            <sz val="12"/>
            <color theme="1"/>
            <rFont val="Aptos Narrow"/>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This number should be considered conservative, relative to the studies available, since we do not know specifics for your organization. Several sources were used including: https://academic.oup.com/jamiaopen/article/5/1/ooac003/6511678
</t>
        </r>
      </text>
    </comment>
    <comment ref="F22" authorId="3" shapeId="0" xr:uid="{AB86ECEC-B73B-4A4F-8A0B-5372A37B81DF}">
      <text>
        <r>
          <rPr>
            <sz val="12"/>
            <color theme="1"/>
            <rFont val="Aptos Narrow"/>
            <family val="2"/>
            <scheme val="minor"/>
          </rPr>
          <t>[Threaded comment]
Your version of Excel allows you to read this threaded comment; however, any edits to it will get removed if the file is opened in a newer version of Excel. Learn more: https://go.microsoft.com/fwlink/?linkid=870924
Comment:
    This figure represents the ability to use more economical methods of shipping with better visibility into availability, loocation and advance notice of cases, cutting down on overnights.</t>
        </r>
      </text>
    </comment>
    <comment ref="C26" authorId="4" shapeId="0" xr:uid="{CE61B82F-5457-3A4C-9499-65E22E0E60F4}">
      <text>
        <r>
          <rPr>
            <sz val="12"/>
            <color theme="1"/>
            <rFont val="Aptos Narrow"/>
            <family val="2"/>
            <scheme val="minor"/>
          </rPr>
          <t>[Threaded comment]
Your version of Excel allows you to read this threaded comment; however, any edits to it will get removed if the file is opened in a newer version of Excel. Learn more: https://go.microsoft.com/fwlink/?linkid=870924
Comment:
    This number is based on customer reports on average time saved. Some experience greater savings if their current process is entirely manual</t>
        </r>
      </text>
    </comment>
    <comment ref="E26" authorId="5" shapeId="0" xr:uid="{75C0CEE2-6EF4-C944-94A1-27A174D40756}">
      <text>
        <r>
          <rPr>
            <sz val="12"/>
            <color theme="1"/>
            <rFont val="Aptos Narrow"/>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This number assumes how many of your total users will actually be active in a given week. </t>
        </r>
      </text>
    </comment>
    <comment ref="C30" authorId="6" shapeId="0" xr:uid="{BA37587F-1671-2846-A1C5-BBD6DBDEF313}">
      <text>
        <r>
          <rPr>
            <sz val="12"/>
            <color theme="1"/>
            <rFont val="Aptos Narrow"/>
            <family val="2"/>
            <scheme val="minor"/>
          </rPr>
          <t>[Threaded comment]
Your version of Excel allows you to read this threaded comment; however, any edits to it will get removed if the file is opened in a newer version of Excel. Learn more: https://go.microsoft.com/fwlink/?linkid=870924
Comment:
    This number is based on customer reports on average time saved. Some experience greater savings if their current process is entirely manual</t>
        </r>
      </text>
    </comment>
    <comment ref="E38" authorId="7" shapeId="0" xr:uid="{09CB7FFC-FA26-E649-B2CF-71A0DBE09598}">
      <text>
        <r>
          <rPr>
            <sz val="12"/>
            <color theme="1"/>
            <rFont val="Aptos Narrow"/>
            <family val="2"/>
            <scheme val="minor"/>
          </rPr>
          <t xml:space="preserve">[Threaded comment]
Your version of Excel allows you to read this threaded comment; however, any edits to it will get removed if the file is opened in a newer version of Excel. Learn more: https://go.microsoft.com/fwlink/?linkid=870924
Comment:
    Source: https://pages.stern.nyu.edu/~adamodar/New_Home_Page/datafile/wacc.html
</t>
        </r>
      </text>
    </comment>
    <comment ref="G38" authorId="8" shapeId="0" xr:uid="{1C7DE4A9-725C-C541-8AF4-E9957D3E7396}">
      <text>
        <r>
          <rPr>
            <sz val="12"/>
            <color theme="1"/>
            <rFont val="Aptos Narrow"/>
            <family val="2"/>
            <scheme val="minor"/>
          </rPr>
          <t>[Threaded comment]
Your version of Excel allows you to read this threaded comment; however, any edits to it will get removed if the file is opened in a newer version of Excel. Learn more: https://go.microsoft.com/fwlink/?linkid=870924
Comment:
    Customers report getting POs 7-14 days faster, which allows them to invoice sooner and start the clock on payment terms, which can have a material impact on cash flow.</t>
        </r>
      </text>
    </comment>
    <comment ref="B40" authorId="9" shapeId="0" xr:uid="{1E7891FB-B91C-5844-85FF-E48792C826CC}">
      <text>
        <r>
          <rPr>
            <sz val="12"/>
            <color theme="1"/>
            <rFont val="Aptos Narrow"/>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Costs outlined here are based on our published rates and are for illustrative purposes only. Your actual costs will be base on size fo your organization and specific needs, and may include discounts and other incentives.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<sst xmlns="http://schemas.openxmlformats.org/spreadsheetml/2006/main" count="128" uniqueCount="125">
  <si>
    <t>Cases per year</t>
  </si>
  <si>
    <t>Minutes per case spent on data entry</t>
  </si>
  <si>
    <t>Hours per year spenton data entry</t>
  </si>
  <si>
    <t>Total C.S. FTE required for data entry</t>
  </si>
  <si>
    <t>Total FTE cost for data entry</t>
  </si>
  <si>
    <t>Total current kits</t>
  </si>
  <si>
    <t>Average cost per kit</t>
  </si>
  <si>
    <t>Total current kit value</t>
  </si>
  <si>
    <t>Kits Built per month</t>
  </si>
  <si>
    <t>Kits built per year</t>
  </si>
  <si>
    <t>Expected efficiency gain on kit turns</t>
  </si>
  <si>
    <t>Kit Reduction from efficiency gain</t>
  </si>
  <si>
    <t>Kit reduction value</t>
  </si>
  <si>
    <t>Average cost of C.S. FTE (fully burdened)</t>
  </si>
  <si>
    <t>Instrumentation</t>
  </si>
  <si>
    <t>Kits</t>
  </si>
  <si>
    <t>Cases</t>
  </si>
  <si>
    <t>Logistics</t>
  </si>
  <si>
    <t>Total kitted instruments</t>
  </si>
  <si>
    <t>Average cost perinstrument</t>
  </si>
  <si>
    <t>Total kitted instrument value</t>
  </si>
  <si>
    <t>% of kitted instruments not used</t>
  </si>
  <si>
    <t>Total value of unused instruments</t>
  </si>
  <si>
    <t>Total quantity of unused instruments</t>
  </si>
  <si>
    <t>Kit Build/restock</t>
  </si>
  <si>
    <t>Kit builds per month</t>
  </si>
  <si>
    <t>kit restocks per month</t>
  </si>
  <si>
    <t>Efficiency gain on data entry</t>
  </si>
  <si>
    <t>Cost per month</t>
  </si>
  <si>
    <t>Savings per month</t>
  </si>
  <si>
    <t>Total time per month on builds (hrs)</t>
  </si>
  <si>
    <t>Data entry time for kit restock (mins)</t>
  </si>
  <si>
    <t>Data entry time for kit build (mins)</t>
  </si>
  <si>
    <t>Total time per month on restock (hrs)</t>
  </si>
  <si>
    <t>Avg. hourly cost of logistics  FTE (fully burdened)</t>
  </si>
  <si>
    <t>Shippments per year</t>
  </si>
  <si>
    <t>Avg. cost per shipment</t>
  </si>
  <si>
    <t>Total Shipping cost</t>
  </si>
  <si>
    <t>Total shipment savings</t>
  </si>
  <si>
    <t>Total time per year</t>
  </si>
  <si>
    <t>Time saved per year (hrs)</t>
  </si>
  <si>
    <t>Cost per year</t>
  </si>
  <si>
    <t>Savings per year</t>
  </si>
  <si>
    <t>Total Hours saved</t>
  </si>
  <si>
    <t>Total FTE saved</t>
  </si>
  <si>
    <t>FTE saved per year</t>
  </si>
  <si>
    <t>Time reduction by offloading to reps</t>
  </si>
  <si>
    <t>Total time saved</t>
  </si>
  <si>
    <t>Total FTE costs saved</t>
  </si>
  <si>
    <t>Total reduction kit builds</t>
  </si>
  <si>
    <t xml:space="preserve">Total reduction in instrumentation </t>
  </si>
  <si>
    <t>Shipping cost reduction %</t>
  </si>
  <si>
    <t>Net new average shipment cost</t>
  </si>
  <si>
    <t>Rep Time</t>
  </si>
  <si>
    <t>Time saved per week (hrs)</t>
  </si>
  <si>
    <t>Reps in system</t>
  </si>
  <si>
    <t>Operations Time</t>
  </si>
  <si>
    <t>Ops users in system</t>
  </si>
  <si>
    <t>Time saved Per year</t>
  </si>
  <si>
    <t>Total FTE</t>
  </si>
  <si>
    <t>Active user rate per week</t>
  </si>
  <si>
    <t>Hours saved per week</t>
  </si>
  <si>
    <t>Hours saved per year</t>
  </si>
  <si>
    <t>FTE equivalent per year</t>
  </si>
  <si>
    <t>Time saved per user/week (hrs)</t>
  </si>
  <si>
    <t>Total time saved per week</t>
  </si>
  <si>
    <t>Total Savings</t>
  </si>
  <si>
    <t>ROI</t>
  </si>
  <si>
    <t>Total return on investment years 1-3</t>
  </si>
  <si>
    <t>Total ROI years 4+</t>
  </si>
  <si>
    <t xml:space="preserve">Annual shipment cost avoidance </t>
  </si>
  <si>
    <t xml:space="preserve">People Time </t>
  </si>
  <si>
    <t>Inventory</t>
  </si>
  <si>
    <t>Kit build cost avoidance</t>
  </si>
  <si>
    <t>Instrumentation cost avoidance</t>
  </si>
  <si>
    <t>Time saved (Hrs)</t>
  </si>
  <si>
    <t>Cost avoidance (not including FTE value)</t>
  </si>
  <si>
    <t>FTE value (avg $30/hr rate)</t>
  </si>
  <si>
    <t>Expirations</t>
  </si>
  <si>
    <t>Average cost of item</t>
  </si>
  <si>
    <t>Qty of sterile-packed invetory</t>
  </si>
  <si>
    <t>Expiration loss $$</t>
  </si>
  <si>
    <t>Inventory loss %</t>
  </si>
  <si>
    <t>Inventory loss qty</t>
  </si>
  <si>
    <t>Expiration loss reduction %</t>
  </si>
  <si>
    <t>New inventory loss %</t>
  </si>
  <si>
    <t>Inventory loss after CSX</t>
  </si>
  <si>
    <t>Cost avoidance</t>
  </si>
  <si>
    <t>Cost of waiting</t>
  </si>
  <si>
    <t>Invoicers per month</t>
  </si>
  <si>
    <t>Cost of waiting per invoice</t>
  </si>
  <si>
    <t>Monthly cost of waiting</t>
  </si>
  <si>
    <t>WACC</t>
  </si>
  <si>
    <t>Cost of capital/day</t>
  </si>
  <si>
    <t>Days saved</t>
  </si>
  <si>
    <t>Annual savings</t>
  </si>
  <si>
    <t>Annual cost of waiting savings</t>
  </si>
  <si>
    <t>Finance</t>
  </si>
  <si>
    <t>Notes about this sheet:</t>
  </si>
  <si>
    <t>Please review the Notes here</t>
  </si>
  <si>
    <t>Average Invoice $</t>
  </si>
  <si>
    <t xml:space="preserve">User satisfaction, process efficiency, and innovation opportunities are just a few of the additional benefits of implementing the right platform. While these are harder to quantify, they also provide a more resilient benefit to the company. We have seen a dramatic improvement in user satisfaction when implementing our tools, versus incumbent products or legacy process and systems (Excel, etc.) Greater visibility into field operations have opened opportunity for customer to innovate various aspects of their business, including the way they engage with customers, they way they incentivise distribution partners, and the way they leverage analytic and performance insights for their businesses. </t>
  </si>
  <si>
    <t>Implementation Cost (one time fees, estimated)</t>
  </si>
  <si>
    <t>FTE Avoidance value (Ops Only)</t>
  </si>
  <si>
    <t>Total FTE Avoidance</t>
  </si>
  <si>
    <t>ROI years 4+ using Internal savings ONLY</t>
  </si>
  <si>
    <t>System Cost (annual, estimated)</t>
  </si>
  <si>
    <t>ROI years 1-3 using Internal savings ONLY</t>
  </si>
  <si>
    <t>Non-Financial (subjective) ROI</t>
  </si>
  <si>
    <t>User Licenses</t>
  </si>
  <si>
    <t>Sales Reps</t>
  </si>
  <si>
    <t>Distributors</t>
  </si>
  <si>
    <t>Regional Managers</t>
  </si>
  <si>
    <t>Customer Service</t>
  </si>
  <si>
    <t>Warehouse/Logistics</t>
  </si>
  <si>
    <t>Operations</t>
  </si>
  <si>
    <t>Other Admin/Ops</t>
  </si>
  <si>
    <t>Sales Cost</t>
  </si>
  <si>
    <t>Distributor Cost</t>
  </si>
  <si>
    <t>Reginal Manager Cost</t>
  </si>
  <si>
    <t>Operations Cost</t>
  </si>
  <si>
    <t>Total Monthly Cost</t>
  </si>
  <si>
    <t>NOTE: Costs below are MONTHY. These numbers represent our published market rates; they DO NOT account for any volume or other discounts.</t>
  </si>
  <si>
    <r>
      <t xml:space="preserve">The inputs and formulas in this sheet drive the ROI an dSavings numbers on the ROI Dashboard tab. Cell values in </t>
    </r>
    <r>
      <rPr>
        <b/>
        <sz val="12"/>
        <color theme="5"/>
        <rFont val="Aptos Narrow (Body)"/>
      </rPr>
      <t>ORANGE</t>
    </r>
    <r>
      <rPr>
        <sz val="12"/>
        <color theme="1"/>
        <rFont val="Aptos Narrow"/>
        <scheme val="minor"/>
      </rPr>
      <t xml:space="preserve"> are either derived or based on formulas; </t>
    </r>
    <r>
      <rPr>
        <b/>
        <sz val="12"/>
        <color theme="5"/>
        <rFont val="Aptos Narrow (Body)"/>
      </rPr>
      <t>DO NOT EDIT THOSE CELLS</t>
    </r>
    <r>
      <rPr>
        <b/>
        <sz val="12"/>
        <color theme="1"/>
        <rFont val="Aptos Narrow"/>
        <scheme val="minor"/>
      </rPr>
      <t>.</t>
    </r>
    <r>
      <rPr>
        <sz val="12"/>
        <color theme="1"/>
        <rFont val="Aptos Narrow"/>
        <scheme val="minor"/>
      </rPr>
      <t xml:space="preserve"> Cell values in </t>
    </r>
    <r>
      <rPr>
        <b/>
        <sz val="12"/>
        <color theme="4"/>
        <rFont val="Aptos Narrow (Body)"/>
      </rPr>
      <t>BLUE</t>
    </r>
    <r>
      <rPr>
        <sz val="12"/>
        <color theme="1"/>
        <rFont val="Aptos Narrow"/>
        <scheme val="minor"/>
      </rPr>
      <t xml:space="preserve"> represent data specific to your company and </t>
    </r>
    <r>
      <rPr>
        <b/>
        <sz val="12"/>
        <color theme="4"/>
        <rFont val="Aptos Narrow (Body)"/>
      </rPr>
      <t>SHOULD BE EDITED</t>
    </r>
    <r>
      <rPr>
        <sz val="12"/>
        <color theme="4"/>
        <rFont val="Aptos Narrow (Body)"/>
      </rPr>
      <t xml:space="preserve"> </t>
    </r>
    <r>
      <rPr>
        <sz val="12"/>
        <color theme="1"/>
        <rFont val="Aptos Narrow"/>
        <scheme val="minor"/>
      </rPr>
      <t xml:space="preserve">for accuracy. We have included numbers based on prior conversations as a startinf point, but for best results we encourage you to use internal data that is as accurate as possible. For companines in a growth phase, we encourage you to model future projections to get a full picture of the ROI over time.  Some cells have comments added to give context around use, intent, and/or where the numbers were pulled. For instance, we pull WACC from an NYU resource that is referenced in the cell comment. </t>
    </r>
  </si>
  <si>
    <t xml:space="preserve">PLEASE NOTE: THIS VERSION DOES NOT TAKE INTO ACCOUNT COSTS FOR OUR NEW BUNDLED PRICING MODEL. TO GET A MORE ACCURATE ASSESSMENT OF COSTS, PLEASE REACH OUT TO US TODAY TO GET A BUNDLED PRICE ESTIMATE.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</si>
</sst>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_(&quot;$&quot;* #,##0.0000000_);_(&quot;$&quot;* \(#,##0.0000000\);_(&quot;$&quot;* &quot;-&quot;??_);_(@_)"/>
    <numFmt numFmtId="166" formatCode="0.00000%"/>
  </numFmts>
  <fonts count="13" x14ac:knownFonts="1">
    <font>
      <sz val="12"/>
      <color theme="1"/>
      <name val="Aptos Narrow"/>
      <family val="2"/>
      <scheme val="minor"/>
    </font>
    <font>
      <sz val="12"/>
      <color theme="1"/>
      <name val="Aptos Narrow"/>
      <family val="2"/>
      <scheme val="minor"/>
    </font>
    <font>
      <b/>
      <sz val="12"/>
      <color theme="1"/>
      <name val="Aptos Narrow"/>
      <scheme val="minor"/>
    </font>
    <font>
      <b/>
      <sz val="14"/>
      <color theme="1"/>
      <name val="Aptos Narrow"/>
      <scheme val="minor"/>
    </font>
    <font>
      <sz val="12"/>
      <color theme="1"/>
      <name val="Aptos Narrow"/>
      <scheme val="minor"/>
    </font>
    <font>
      <sz val="12"/>
      <color theme="4"/>
      <name val="Aptos Narrow"/>
      <scheme val="minor"/>
    </font>
    <font>
      <sz val="12"/>
      <color theme="5"/>
      <name val="Aptos Narrow"/>
      <scheme val="minor"/>
    </font>
    <font>
      <b/>
      <sz val="12"/>
      <color theme="0"/>
      <name val="Aptos Narrow"/>
      <scheme val="minor"/>
    </font>
    <font>
      <sz val="12"/>
      <color theme="0"/>
      <name val="Aptos Narrow"/>
      <scheme val="minor"/>
    </font>
    <font>
      <u/>
      <sz val="12"/>
      <color theme="10"/>
      <name val="Aptos Narrow"/>
      <family val="2"/>
      <scheme val="minor"/>
    </font>
    <font>
      <sz val="12"/>
      <color theme="4"/>
      <name val="Aptos Narrow (Body)"/>
    </font>
    <font>
      <b/>
      <sz val="12"/>
      <color theme="4"/>
      <name val="Aptos Narrow (Body)"/>
    </font>
    <font>
      <b/>
      <sz val="12"/>
      <color theme="5"/>
      <name val="Aptos Narrow (Body)"/>
    </font>
  </fonts>
  <fills count="22">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rgb="FFFFDE85"/>
        <bgColor indexed="64"/>
      </patternFill>
    </fill>
    <fill>
      <patternFill patternType="solid">
        <fgColor rgb="FFF1EBC5"/>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134">
    <xf numFmtId="0" fontId="0" fillId="0" borderId="0" xfId="0"/>
    <xf numFmtId="0" fontId="2" fillId="3" borderId="0" xfId="0" applyFont="1" applyFill="1" applyAlignment="1">
      <alignment vertical="top" wrapText="1"/>
    </xf>
    <xf numFmtId="0" fontId="2" fillId="3" borderId="5" xfId="0" applyFont="1" applyFill="1" applyBorder="1" applyAlignment="1">
      <alignment vertical="top" wrapText="1"/>
    </xf>
    <xf numFmtId="0" fontId="2" fillId="2" borderId="0" xfId="0" applyFont="1" applyFill="1" applyAlignment="1">
      <alignment vertical="top" wrapText="1"/>
    </xf>
    <xf numFmtId="0" fontId="2" fillId="2" borderId="5" xfId="0" applyFont="1" applyFill="1" applyBorder="1" applyAlignment="1">
      <alignment vertical="top" wrapText="1"/>
    </xf>
    <xf numFmtId="0" fontId="2" fillId="6" borderId="0" xfId="0" applyFont="1" applyFill="1" applyAlignment="1">
      <alignment wrapText="1"/>
    </xf>
    <xf numFmtId="0" fontId="2" fillId="6" borderId="5" xfId="0" applyFont="1" applyFill="1" applyBorder="1" applyAlignment="1">
      <alignment wrapText="1"/>
    </xf>
    <xf numFmtId="0" fontId="2" fillId="8" borderId="1" xfId="0" applyFont="1" applyFill="1" applyBorder="1" applyAlignment="1">
      <alignment vertical="center" wrapText="1"/>
    </xf>
    <xf numFmtId="0" fontId="2" fillId="9" borderId="0" xfId="0" applyFont="1" applyFill="1" applyAlignment="1">
      <alignment vertical="top" wrapText="1"/>
    </xf>
    <xf numFmtId="0" fontId="2" fillId="9" borderId="5" xfId="0" applyFont="1" applyFill="1" applyBorder="1" applyAlignment="1">
      <alignment vertical="top" wrapText="1"/>
    </xf>
    <xf numFmtId="0" fontId="2" fillId="11" borderId="0" xfId="0" applyFont="1" applyFill="1" applyAlignment="1">
      <alignment vertical="top" wrapText="1"/>
    </xf>
    <xf numFmtId="0" fontId="2" fillId="11" borderId="5" xfId="0" applyFont="1" applyFill="1" applyBorder="1" applyAlignment="1">
      <alignment vertical="top" wrapText="1"/>
    </xf>
    <xf numFmtId="0" fontId="4" fillId="0" borderId="0" xfId="0" applyFont="1" applyAlignment="1">
      <alignment vertical="center" wrapText="1"/>
    </xf>
    <xf numFmtId="0" fontId="2" fillId="12" borderId="1" xfId="0" applyFont="1" applyFill="1" applyBorder="1" applyAlignment="1">
      <alignment vertical="center" wrapText="1"/>
    </xf>
    <xf numFmtId="0" fontId="2" fillId="13" borderId="0" xfId="0" applyFont="1" applyFill="1" applyAlignment="1">
      <alignment vertical="center" wrapText="1"/>
    </xf>
    <xf numFmtId="0" fontId="2" fillId="15" borderId="0" xfId="0" applyFont="1" applyFill="1" applyAlignment="1">
      <alignment vertical="center" wrapText="1"/>
    </xf>
    <xf numFmtId="0" fontId="4" fillId="0" borderId="0" xfId="0" applyFont="1"/>
    <xf numFmtId="2" fontId="4" fillId="0" borderId="0" xfId="0" applyNumberFormat="1" applyFont="1"/>
    <xf numFmtId="44" fontId="4" fillId="0" borderId="0" xfId="1" applyFont="1" applyFill="1" applyBorder="1"/>
    <xf numFmtId="0" fontId="2" fillId="5" borderId="1" xfId="0" applyFont="1" applyFill="1" applyBorder="1" applyAlignment="1">
      <alignment vertical="center" wrapText="1"/>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4" fillId="3" borderId="4" xfId="0" applyFont="1" applyFill="1" applyBorder="1" applyAlignment="1">
      <alignment vertical="center" wrapText="1"/>
    </xf>
    <xf numFmtId="0" fontId="4" fillId="3" borderId="6" xfId="0" applyFont="1" applyFill="1" applyBorder="1" applyAlignment="1">
      <alignment vertical="center" wrapText="1"/>
    </xf>
    <xf numFmtId="3" fontId="5" fillId="0" borderId="10" xfId="0" applyNumberFormat="1" applyFont="1" applyBorder="1" applyAlignment="1">
      <alignment vertical="center" wrapText="1"/>
    </xf>
    <xf numFmtId="0" fontId="5" fillId="0" borderId="8" xfId="0" applyFont="1" applyBorder="1" applyAlignment="1">
      <alignment vertical="center" wrapText="1"/>
    </xf>
    <xf numFmtId="4" fontId="6" fillId="0" borderId="8" xfId="0" applyNumberFormat="1" applyFont="1" applyBorder="1" applyAlignment="1">
      <alignment vertical="center" wrapText="1"/>
    </xf>
    <xf numFmtId="44" fontId="5" fillId="0" borderId="8" xfId="0" applyNumberFormat="1" applyFont="1" applyBorder="1" applyAlignment="1">
      <alignment vertical="center" wrapText="1"/>
    </xf>
    <xf numFmtId="44" fontId="6" fillId="0" borderId="8" xfId="0" applyNumberFormat="1" applyFont="1" applyBorder="1" applyAlignment="1">
      <alignment vertical="center" wrapText="1"/>
    </xf>
    <xf numFmtId="9" fontId="6" fillId="0" borderId="8" xfId="2" applyFont="1" applyBorder="1" applyAlignment="1" applyProtection="1">
      <alignment vertical="center" wrapText="1"/>
    </xf>
    <xf numFmtId="0" fontId="4" fillId="0" borderId="8" xfId="0" applyFont="1" applyBorder="1" applyAlignment="1">
      <alignment vertical="center" wrapText="1"/>
    </xf>
    <xf numFmtId="0" fontId="4" fillId="0" borderId="7" xfId="0" applyFont="1" applyBorder="1" applyAlignment="1">
      <alignment vertical="center" wrapText="1"/>
    </xf>
    <xf numFmtId="0" fontId="2"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2" borderId="4" xfId="0" applyFont="1" applyFill="1" applyBorder="1" applyAlignment="1">
      <alignment vertical="center" wrapText="1"/>
    </xf>
    <xf numFmtId="0" fontId="4" fillId="2" borderId="6" xfId="0" applyFont="1" applyFill="1" applyBorder="1" applyAlignment="1">
      <alignment vertical="center" wrapText="1"/>
    </xf>
    <xf numFmtId="4" fontId="5" fillId="0" borderId="8" xfId="0" applyNumberFormat="1" applyFont="1" applyBorder="1" applyAlignment="1">
      <alignment vertical="center" wrapText="1"/>
    </xf>
    <xf numFmtId="3" fontId="5" fillId="0" borderId="8" xfId="0" applyNumberFormat="1" applyFont="1" applyBorder="1" applyAlignment="1">
      <alignment vertical="center" wrapText="1"/>
    </xf>
    <xf numFmtId="3" fontId="6" fillId="0" borderId="8" xfId="0" applyNumberFormat="1" applyFont="1" applyBorder="1" applyAlignment="1">
      <alignment vertical="center" wrapText="1"/>
    </xf>
    <xf numFmtId="164" fontId="5" fillId="0" borderId="8" xfId="0" applyNumberFormat="1" applyFont="1" applyBorder="1" applyAlignment="1">
      <alignment vertical="center" wrapText="1"/>
    </xf>
    <xf numFmtId="44" fontId="4" fillId="0" borderId="8" xfId="0" applyNumberFormat="1" applyFont="1" applyBorder="1" applyAlignment="1">
      <alignment vertical="center" wrapText="1"/>
    </xf>
    <xf numFmtId="44" fontId="4" fillId="0" borderId="7" xfId="0" applyNumberFormat="1" applyFont="1" applyBorder="1" applyAlignment="1">
      <alignment vertical="center" wrapText="1"/>
    </xf>
    <xf numFmtId="0" fontId="2" fillId="7" borderId="1" xfId="0" applyFont="1" applyFill="1" applyBorder="1" applyAlignment="1">
      <alignment vertical="center" wrapText="1"/>
    </xf>
    <xf numFmtId="0" fontId="4" fillId="7" borderId="2" xfId="0" applyFont="1" applyFill="1" applyBorder="1" applyAlignment="1">
      <alignment vertical="center" wrapText="1"/>
    </xf>
    <xf numFmtId="0" fontId="4" fillId="7" borderId="3" xfId="0" applyFont="1" applyFill="1" applyBorder="1" applyAlignment="1">
      <alignment vertical="center" wrapText="1"/>
    </xf>
    <xf numFmtId="0" fontId="4" fillId="6" borderId="4" xfId="0" applyFont="1" applyFill="1" applyBorder="1" applyAlignment="1">
      <alignment vertical="center" wrapText="1"/>
    </xf>
    <xf numFmtId="0" fontId="4" fillId="6" borderId="6" xfId="0" applyFont="1" applyFill="1" applyBorder="1" applyAlignment="1">
      <alignment vertical="center" wrapText="1"/>
    </xf>
    <xf numFmtId="3" fontId="4" fillId="0" borderId="8" xfId="0" applyNumberFormat="1" applyFont="1" applyBorder="1" applyAlignment="1">
      <alignment vertical="center" wrapText="1"/>
    </xf>
    <xf numFmtId="0" fontId="4" fillId="8" borderId="2" xfId="0" applyFont="1" applyFill="1" applyBorder="1" applyAlignment="1">
      <alignment vertical="center" wrapText="1"/>
    </xf>
    <xf numFmtId="0" fontId="4" fillId="8" borderId="3" xfId="0" applyFont="1" applyFill="1" applyBorder="1" applyAlignment="1">
      <alignment vertical="center" wrapText="1"/>
    </xf>
    <xf numFmtId="0" fontId="4" fillId="9" borderId="4" xfId="0" applyFont="1" applyFill="1" applyBorder="1" applyAlignment="1">
      <alignment vertical="center" wrapText="1"/>
    </xf>
    <xf numFmtId="0" fontId="4" fillId="9" borderId="6" xfId="0" applyFont="1" applyFill="1" applyBorder="1" applyAlignment="1">
      <alignment vertical="center" wrapText="1"/>
    </xf>
    <xf numFmtId="9" fontId="5" fillId="0" borderId="8" xfId="2" applyFont="1" applyBorder="1" applyAlignment="1">
      <alignment vertical="center" wrapText="1"/>
    </xf>
    <xf numFmtId="0" fontId="2" fillId="10" borderId="1" xfId="0" applyFont="1" applyFill="1" applyBorder="1" applyAlignment="1">
      <alignment vertical="center" wrapText="1"/>
    </xf>
    <xf numFmtId="0" fontId="4" fillId="10" borderId="2" xfId="0" applyFont="1" applyFill="1" applyBorder="1" applyAlignment="1">
      <alignment vertical="center" wrapText="1"/>
    </xf>
    <xf numFmtId="0" fontId="4" fillId="10" borderId="3" xfId="0" applyFont="1" applyFill="1" applyBorder="1" applyAlignment="1">
      <alignment vertical="center" wrapText="1"/>
    </xf>
    <xf numFmtId="0" fontId="4" fillId="11" borderId="4" xfId="0" applyFont="1" applyFill="1" applyBorder="1" applyAlignment="1">
      <alignment vertical="center" wrapText="1"/>
    </xf>
    <xf numFmtId="0" fontId="4" fillId="11" borderId="6" xfId="0" applyFont="1" applyFill="1" applyBorder="1" applyAlignment="1">
      <alignment vertical="center" wrapText="1"/>
    </xf>
    <xf numFmtId="44" fontId="6" fillId="0" borderId="8" xfId="1" applyFont="1" applyBorder="1" applyAlignment="1">
      <alignment vertical="center" wrapText="1"/>
    </xf>
    <xf numFmtId="0" fontId="4" fillId="12" borderId="2" xfId="0" applyFont="1" applyFill="1" applyBorder="1" applyAlignment="1">
      <alignment vertical="center" wrapText="1"/>
    </xf>
    <xf numFmtId="0" fontId="4" fillId="12" borderId="3" xfId="0" applyFont="1" applyFill="1" applyBorder="1" applyAlignment="1">
      <alignment vertical="center" wrapText="1"/>
    </xf>
    <xf numFmtId="0" fontId="4" fillId="13" borderId="4" xfId="0" applyFont="1" applyFill="1" applyBorder="1" applyAlignment="1">
      <alignment vertical="center" wrapText="1"/>
    </xf>
    <xf numFmtId="0" fontId="4" fillId="13" borderId="0" xfId="0" applyFont="1" applyFill="1" applyAlignment="1">
      <alignment vertical="center" wrapText="1"/>
    </xf>
    <xf numFmtId="0" fontId="4" fillId="13" borderId="5" xfId="0" applyFont="1" applyFill="1" applyBorder="1" applyAlignment="1">
      <alignment vertical="center" wrapText="1"/>
    </xf>
    <xf numFmtId="0" fontId="4" fillId="13" borderId="6" xfId="0" applyFont="1" applyFill="1" applyBorder="1" applyAlignment="1">
      <alignment vertical="center" wrapText="1"/>
    </xf>
    <xf numFmtId="0" fontId="4" fillId="14" borderId="1" xfId="0" applyFont="1" applyFill="1" applyBorder="1" applyAlignment="1">
      <alignment vertical="center" wrapText="1"/>
    </xf>
    <xf numFmtId="0" fontId="4" fillId="14" borderId="2" xfId="0" applyFont="1" applyFill="1" applyBorder="1" applyAlignment="1">
      <alignment vertical="center" wrapText="1"/>
    </xf>
    <xf numFmtId="0" fontId="4" fillId="14" borderId="3" xfId="0" applyFont="1" applyFill="1" applyBorder="1" applyAlignment="1">
      <alignment vertical="center" wrapText="1"/>
    </xf>
    <xf numFmtId="0" fontId="4" fillId="15" borderId="4" xfId="0" applyFont="1" applyFill="1" applyBorder="1" applyAlignment="1">
      <alignment vertical="center" wrapText="1"/>
    </xf>
    <xf numFmtId="0" fontId="4" fillId="15" borderId="0" xfId="0" applyFont="1" applyFill="1" applyAlignment="1">
      <alignment vertical="center" wrapText="1"/>
    </xf>
    <xf numFmtId="0" fontId="4" fillId="15" borderId="5" xfId="0" applyFont="1" applyFill="1" applyBorder="1" applyAlignment="1">
      <alignment vertical="center" wrapText="1"/>
    </xf>
    <xf numFmtId="0" fontId="4" fillId="15" borderId="6" xfId="0" applyFont="1" applyFill="1" applyBorder="1" applyAlignment="1">
      <alignment vertical="center" wrapText="1"/>
    </xf>
    <xf numFmtId="44" fontId="6" fillId="0" borderId="8" xfId="1" applyFont="1" applyBorder="1" applyAlignment="1" applyProtection="1">
      <alignment vertical="center" wrapText="1"/>
    </xf>
    <xf numFmtId="44" fontId="6" fillId="0" borderId="7" xfId="0" applyNumberFormat="1" applyFont="1" applyBorder="1" applyAlignment="1">
      <alignment vertical="center" wrapText="1"/>
    </xf>
    <xf numFmtId="44" fontId="6" fillId="0" borderId="9" xfId="0" applyNumberFormat="1" applyFont="1" applyBorder="1" applyAlignment="1">
      <alignment vertical="center" wrapText="1"/>
    </xf>
    <xf numFmtId="0" fontId="4" fillId="4" borderId="1" xfId="0" applyFont="1" applyFill="1" applyBorder="1" applyAlignment="1">
      <alignment vertical="center" wrapText="1"/>
    </xf>
    <xf numFmtId="0" fontId="4" fillId="2" borderId="0" xfId="0" applyFont="1" applyFill="1" applyAlignment="1">
      <alignment vertical="center" wrapText="1"/>
    </xf>
    <xf numFmtId="9" fontId="4" fillId="2" borderId="0" xfId="2" applyFont="1" applyFill="1" applyBorder="1" applyAlignment="1">
      <alignment vertical="center" wrapText="1"/>
    </xf>
    <xf numFmtId="0" fontId="4" fillId="2" borderId="5" xfId="0" applyFont="1" applyFill="1" applyBorder="1" applyAlignment="1">
      <alignment vertical="center" wrapText="1"/>
    </xf>
    <xf numFmtId="44" fontId="5" fillId="0" borderId="8" xfId="1" applyFont="1" applyBorder="1" applyAlignment="1">
      <alignment vertical="center" wrapText="1"/>
    </xf>
    <xf numFmtId="10" fontId="6" fillId="0" borderId="8" xfId="0" applyNumberFormat="1" applyFont="1" applyBorder="1" applyAlignment="1">
      <alignment vertical="center" wrapText="1"/>
    </xf>
    <xf numFmtId="0" fontId="7" fillId="0" borderId="0" xfId="0" applyFont="1" applyAlignment="1">
      <alignment horizontal="center" vertical="center"/>
    </xf>
    <xf numFmtId="44" fontId="8" fillId="0" borderId="0" xfId="0" applyNumberFormat="1" applyFont="1" applyAlignment="1">
      <alignment horizontal="center"/>
    </xf>
    <xf numFmtId="44" fontId="4" fillId="0" borderId="0" xfId="1" applyFont="1"/>
    <xf numFmtId="9" fontId="4" fillId="0" borderId="0" xfId="2" applyFont="1"/>
    <xf numFmtId="10" fontId="4" fillId="0" borderId="0" xfId="2" applyNumberFormat="1" applyFont="1"/>
    <xf numFmtId="165" fontId="4" fillId="0" borderId="0" xfId="1" applyNumberFormat="1" applyFont="1"/>
    <xf numFmtId="0" fontId="2" fillId="3" borderId="0" xfId="0" applyFont="1" applyFill="1"/>
    <xf numFmtId="0" fontId="2" fillId="3" borderId="0" xfId="0" applyFont="1" applyFill="1" applyAlignment="1">
      <alignment vertical="center" wrapText="1"/>
    </xf>
    <xf numFmtId="0" fontId="4" fillId="3" borderId="0" xfId="0" applyFont="1" applyFill="1" applyAlignment="1">
      <alignment vertical="center" wrapText="1"/>
    </xf>
    <xf numFmtId="0" fontId="4" fillId="3" borderId="5" xfId="0" applyFont="1" applyFill="1" applyBorder="1" applyAlignment="1">
      <alignment vertical="center" wrapText="1"/>
    </xf>
    <xf numFmtId="10" fontId="5" fillId="0" borderId="8" xfId="2" applyNumberFormat="1" applyFont="1" applyBorder="1" applyAlignment="1">
      <alignment vertical="center" wrapText="1"/>
    </xf>
    <xf numFmtId="166" fontId="6" fillId="0" borderId="8" xfId="2" applyNumberFormat="1" applyFont="1" applyBorder="1" applyAlignment="1">
      <alignment vertical="center" wrapText="1"/>
    </xf>
    <xf numFmtId="0" fontId="4" fillId="0" borderId="0" xfId="0" applyFont="1" applyAlignment="1">
      <alignment horizontal="left"/>
    </xf>
    <xf numFmtId="44" fontId="8" fillId="0" borderId="0" xfId="0" applyNumberFormat="1" applyFont="1" applyAlignment="1">
      <alignment horizontal="right"/>
    </xf>
    <xf numFmtId="0" fontId="3" fillId="0" borderId="8" xfId="0" applyFont="1" applyBorder="1" applyAlignment="1">
      <alignment vertical="center" wrapText="1"/>
    </xf>
    <xf numFmtId="0" fontId="4" fillId="15" borderId="14" xfId="0" applyFont="1" applyFill="1" applyBorder="1" applyAlignment="1">
      <alignment horizontal="left"/>
    </xf>
    <xf numFmtId="4" fontId="8" fillId="18" borderId="14" xfId="0" applyNumberFormat="1" applyFont="1" applyFill="1" applyBorder="1" applyAlignment="1">
      <alignment horizontal="right"/>
    </xf>
    <xf numFmtId="0" fontId="4" fillId="15" borderId="15" xfId="0" applyFont="1" applyFill="1" applyBorder="1" applyAlignment="1">
      <alignment horizontal="left"/>
    </xf>
    <xf numFmtId="2" fontId="8" fillId="18" borderId="15" xfId="0" applyNumberFormat="1" applyFont="1" applyFill="1" applyBorder="1" applyAlignment="1">
      <alignment horizontal="right"/>
    </xf>
    <xf numFmtId="44" fontId="8" fillId="18" borderId="15" xfId="0" applyNumberFormat="1" applyFont="1" applyFill="1" applyBorder="1" applyAlignment="1">
      <alignment horizontal="right"/>
    </xf>
    <xf numFmtId="44" fontId="8" fillId="18" borderId="15" xfId="0" applyNumberFormat="1" applyFont="1" applyFill="1" applyBorder="1"/>
    <xf numFmtId="3" fontId="8" fillId="18" borderId="15" xfId="0" applyNumberFormat="1" applyFont="1" applyFill="1" applyBorder="1" applyAlignment="1">
      <alignment horizontal="right"/>
    </xf>
    <xf numFmtId="4" fontId="8" fillId="18" borderId="15" xfId="0" applyNumberFormat="1" applyFont="1" applyFill="1" applyBorder="1" applyAlignment="1">
      <alignment horizontal="right"/>
    </xf>
    <xf numFmtId="44" fontId="8" fillId="18" borderId="15" xfId="1" applyFont="1" applyFill="1" applyBorder="1" applyAlignment="1">
      <alignment horizontal="right"/>
    </xf>
    <xf numFmtId="39" fontId="8" fillId="18" borderId="15" xfId="1" applyNumberFormat="1" applyFont="1" applyFill="1" applyBorder="1" applyAlignment="1">
      <alignment horizontal="right"/>
    </xf>
    <xf numFmtId="0" fontId="4" fillId="3" borderId="15" xfId="0" applyFont="1" applyFill="1" applyBorder="1"/>
    <xf numFmtId="44" fontId="4" fillId="3" borderId="15" xfId="1" applyFont="1" applyFill="1" applyBorder="1"/>
    <xf numFmtId="0" fontId="8" fillId="16" borderId="15" xfId="0" applyFont="1" applyFill="1" applyBorder="1"/>
    <xf numFmtId="10" fontId="8" fillId="16" borderId="15" xfId="2" applyNumberFormat="1" applyFont="1" applyFill="1" applyBorder="1"/>
    <xf numFmtId="0" fontId="7" fillId="0" borderId="0" xfId="0" applyFont="1"/>
    <xf numFmtId="0" fontId="2" fillId="0" borderId="0" xfId="0" applyFont="1"/>
    <xf numFmtId="44" fontId="4" fillId="0" borderId="0" xfId="0" applyNumberFormat="1" applyFont="1"/>
    <xf numFmtId="166" fontId="4" fillId="0" borderId="0" xfId="2" applyNumberFormat="1" applyFont="1" applyFill="1"/>
    <xf numFmtId="0" fontId="4" fillId="20" borderId="2" xfId="0" applyFont="1" applyFill="1" applyBorder="1" applyAlignment="1">
      <alignment vertical="center" wrapText="1"/>
    </xf>
    <xf numFmtId="0" fontId="4" fillId="21" borderId="4" xfId="0" applyFont="1" applyFill="1" applyBorder="1" applyAlignment="1">
      <alignment vertical="center" wrapText="1"/>
    </xf>
    <xf numFmtId="0" fontId="4" fillId="21" borderId="6" xfId="0" applyFont="1" applyFill="1" applyBorder="1" applyAlignment="1">
      <alignment vertical="center" wrapText="1"/>
    </xf>
    <xf numFmtId="0" fontId="4" fillId="21" borderId="0" xfId="0" applyFont="1" applyFill="1" applyAlignment="1">
      <alignment vertical="center" wrapText="1"/>
    </xf>
    <xf numFmtId="0" fontId="4" fillId="21" borderId="5" xfId="0" applyFont="1" applyFill="1" applyBorder="1" applyAlignment="1">
      <alignment vertical="center" wrapText="1"/>
    </xf>
    <xf numFmtId="0" fontId="2" fillId="20" borderId="1" xfId="0" applyFont="1" applyFill="1" applyBorder="1" applyAlignment="1">
      <alignment vertical="center" wrapText="1"/>
    </xf>
    <xf numFmtId="0" fontId="2" fillId="21" borderId="0" xfId="0" applyFont="1" applyFill="1" applyAlignment="1">
      <alignment vertical="center" wrapText="1"/>
    </xf>
    <xf numFmtId="0" fontId="6" fillId="0" borderId="8" xfId="0" applyFont="1" applyBorder="1" applyAlignment="1">
      <alignment vertical="center" wrapText="1"/>
    </xf>
    <xf numFmtId="0" fontId="9" fillId="0" borderId="11" xfId="3" applyBorder="1" applyAlignment="1">
      <alignment horizontal="center" vertical="center"/>
    </xf>
    <xf numFmtId="0" fontId="9" fillId="0" borderId="12" xfId="3" applyBorder="1" applyAlignment="1">
      <alignment horizontal="center" vertical="center"/>
    </xf>
    <xf numFmtId="0" fontId="9" fillId="0" borderId="13" xfId="3" applyBorder="1" applyAlignment="1">
      <alignment horizontal="center" vertical="center"/>
    </xf>
    <xf numFmtId="0" fontId="7" fillId="19" borderId="0" xfId="0" applyFont="1" applyFill="1" applyAlignment="1">
      <alignment horizontal="left"/>
    </xf>
    <xf numFmtId="0" fontId="4" fillId="2" borderId="0" xfId="0" applyFont="1" applyFill="1" applyAlignment="1">
      <alignment horizontal="left" vertical="top" wrapText="1"/>
    </xf>
    <xf numFmtId="0" fontId="7" fillId="16" borderId="0" xfId="0" applyFont="1" applyFill="1" applyAlignment="1">
      <alignment horizontal="left"/>
    </xf>
    <xf numFmtId="0" fontId="7" fillId="17" borderId="0" xfId="0" applyFont="1" applyFill="1" applyAlignment="1">
      <alignment horizontal="left" vertical="center"/>
    </xf>
    <xf numFmtId="0" fontId="4" fillId="0" borderId="8" xfId="0" applyFont="1" applyBorder="1" applyAlignment="1">
      <alignment horizontal="left" vertical="center" wrapText="1"/>
    </xf>
    <xf numFmtId="0" fontId="2" fillId="20" borderId="2" xfId="0" applyFont="1" applyFill="1" applyBorder="1" applyAlignment="1">
      <alignment horizontal="left" vertical="center" wrapText="1"/>
    </xf>
    <xf numFmtId="0" fontId="2" fillId="20" borderId="3" xfId="0" applyFont="1" applyFill="1" applyBorder="1" applyAlignment="1">
      <alignment horizontal="left" vertical="center" wrapText="1"/>
    </xf>
    <xf numFmtId="0" fontId="4" fillId="0" borderId="0" xfId="0" applyFont="1" applyAlignment="1">
      <alignment horizontal="center" vertic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1EBC5"/>
      <color rgb="FFFFDE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persons/person.xml><?xml version="1.0" encoding="utf-8"?>
<personList xmlns="http://schemas.microsoft.com/office/spreadsheetml/2018/threadedcomments" xmlns:x="http://schemas.openxmlformats.org/spreadsheetml/2006/main">
  <person displayName="Chris Riedel" id="{3AA52D30-9AB3-9B4D-99C8-CDC40C4FB4A0}" userId="1ec0de1fc85bdc30" providerId="Windows Live"/>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G6" dT="2024-05-11T16:12:16.43" personId="{3AA52D30-9AB3-9B4D-99C8-CDC40C4FB4A0}" id="{5DD32FA4-4083-7240-90EB-52CB1392737C}">
    <text>We believe it is important to use fully-burdened numbers since those are real costs to your business.</text>
  </threadedComment>
  <threadedComment ref="H10" dT="2024-05-11T16:09:18.35" personId="{3AA52D30-9AB3-9B4D-99C8-CDC40C4FB4A0}" id="{879E31A9-1613-8748-B6B1-8E86DE26093F}">
    <text>When used effectively, ConnectSx can improve turns by 20% or more. This mean, if your annual inventory turn rate is 1.0, after implementation and adoption, we would expect to see turns of 1.2 or better. Keep in mind, this also requires process and practice changes outside of the software tools. We recommend using numbers that take both into account.</text>
  </threadedComment>
  <threadedComment ref="F14" dT="2024-05-11T16:18:09.37" personId="{3AA52D30-9AB3-9B4D-99C8-CDC40C4FB4A0}" id="{1F66D593-968C-934D-A256-27B7B3B88F16}">
    <text xml:space="preserve">This number should be considered conservative, relative to the studies available, since we do not know specifics for your organization. Several sources were used including: https://academic.oup.com/jamiaopen/article/5/1/ooac003/6511678
</text>
    <extLst>
      <x:ext xmlns:xltc2="http://schemas.microsoft.com/office/spreadsheetml/2020/threadedcomments2" uri="{F7C98A9C-CBB3-438F-8F68-D28B6AF4A901}">
        <xltc2:checksum>2153048787</xltc2:checksum>
        <xltc2:hyperlink startIndex="173" length="62" url="https://academic.oup.com/jamiaopen/article/5/1/ooac003/6511678"/>
      </x:ext>
    </extLst>
  </threadedComment>
  <threadedComment ref="F22" dT="2024-05-11T16:20:49.29" personId="{3AA52D30-9AB3-9B4D-99C8-CDC40C4FB4A0}" id="{AB86ECEC-B73B-4A4F-8A0B-5372A37B81DF}">
    <text>This figure represents the ability to use more economical methods of shipping with better visibility into availability, loocation and advance notice of cases, cutting down on overnights.</text>
  </threadedComment>
  <threadedComment ref="C26" dT="2024-05-11T16:24:24.47" personId="{3AA52D30-9AB3-9B4D-99C8-CDC40C4FB4A0}" id="{CE61B82F-5457-3A4C-9499-65E22E0E60F4}">
    <text>This number is based on customer reports on average time saved. Some experience greater savings if their current process is entirely manual</text>
  </threadedComment>
  <threadedComment ref="E26" dT="2024-05-11T16:23:00.20" personId="{3AA52D30-9AB3-9B4D-99C8-CDC40C4FB4A0}" id="{75C0CEE2-6EF4-C944-94A1-27A174D40756}">
    <text xml:space="preserve">This number assumes how many of your total users will actually be active in a given week. </text>
  </threadedComment>
  <threadedComment ref="C30" dT="2024-05-11T16:24:11.69" personId="{3AA52D30-9AB3-9B4D-99C8-CDC40C4FB4A0}" id="{BA37587F-1671-2846-A1C5-BBD6DBDEF313}">
    <text>This number is based on customer reports on average time saved. Some experience greater savings if their current process is entirely manual</text>
  </threadedComment>
  <threadedComment ref="E38" dT="2024-05-11T15:51:29.20" personId="{3AA52D30-9AB3-9B4D-99C8-CDC40C4FB4A0}" id="{09CB7FFC-FA26-E649-B2CF-71A0DBE09598}">
    <text xml:space="preserve">Source: https://pages.stern.nyu.edu/~adamodar/New_Home_Page/datafile/wacc.html
</text>
    <extLst>
      <x:ext xmlns:xltc2="http://schemas.microsoft.com/office/spreadsheetml/2020/threadedcomments2" uri="{F7C98A9C-CBB3-438F-8F68-D28B6AF4A901}">
        <xltc2:checksum>200162985</xltc2:checksum>
        <xltc2:hyperlink startIndex="8" length="70" url="https://pages.stern.nyu.edu/~adamodar/New_Home_Page/datafile/wacc.html"/>
      </x:ext>
    </extLst>
  </threadedComment>
  <threadedComment ref="G38" dT="2024-05-11T15:52:21.66" personId="{3AA52D30-9AB3-9B4D-99C8-CDC40C4FB4A0}" id="{1C7DE4A9-725C-C541-8AF4-E9957D3E7396}">
    <text>Customers report getting POs 7-14 days faster, which allows them to invoice sooner and start the clock on payment terms, which can have a material impact on cash flow.</text>
  </threadedComment>
  <threadedComment ref="B40" dT="2024-08-13T20:34:31.17" personId="{3AA52D30-9AB3-9B4D-99C8-CDC40C4FB4A0}" id="{1E7891FB-B91C-5844-85FF-E48792C826CC}">
    <text xml:space="preserve">Costs outlined here are based on our published rates and are for illustrative purposes only. Your actual costs will be base on size fo your organization and specific needs, and may include discounts and other incentives. </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DD369-FA0C-ED4D-9496-1ABB7BD04C2E}">
  <dimension ref="B2:F56"/>
  <sheetViews>
    <sheetView topLeftCell="A8" workbookViewId="0">
      <selection activeCell="C33" sqref="C33"/>
    </sheetView>
  </sheetViews>
  <sheetFormatPr baseColWidth="10" defaultRowHeight="16" x14ac:dyDescent="0.2"/>
  <cols>
    <col min="1" max="1" width="8.83203125" style="16" bestFit="1" customWidth="1"/>
    <col min="2" max="2" width="65.5" style="16" bestFit="1" customWidth="1"/>
    <col min="3" max="3" width="23.33203125" style="16" customWidth="1"/>
    <col min="4" max="4" width="6" style="16" customWidth="1"/>
    <col min="5" max="5" width="34.33203125" style="16" customWidth="1"/>
    <col min="6" max="6" width="41" style="16" customWidth="1"/>
    <col min="7" max="7" width="30.33203125" style="16" customWidth="1"/>
    <col min="8" max="8" width="28.5" style="16" customWidth="1"/>
    <col min="9" max="16384" width="10.83203125" style="16"/>
  </cols>
  <sheetData>
    <row r="2" spans="2:5" ht="66" customHeight="1" x14ac:dyDescent="0.2">
      <c r="B2" s="16" t="e" vm="1">
        <v>#VALUE!</v>
      </c>
    </row>
    <row r="3" spans="2:5" ht="21" customHeight="1" thickBot="1" x14ac:dyDescent="0.25"/>
    <row r="4" spans="2:5" ht="24" customHeight="1" x14ac:dyDescent="0.2">
      <c r="B4" s="129" t="s">
        <v>71</v>
      </c>
      <c r="C4" s="129"/>
      <c r="E4" s="123" t="s">
        <v>99</v>
      </c>
    </row>
    <row r="5" spans="2:5" ht="17" customHeight="1" x14ac:dyDescent="0.2">
      <c r="B5" s="129"/>
      <c r="C5" s="129"/>
      <c r="E5" s="124"/>
    </row>
    <row r="6" spans="2:5" x14ac:dyDescent="0.2">
      <c r="B6" s="97" t="s">
        <v>43</v>
      </c>
      <c r="C6" s="98">
        <f>'Input Data'!J6+'Input Data'!K18+'Input Data'!G26+'Input Data'!F30</f>
        <v>22907</v>
      </c>
      <c r="D6" s="17"/>
      <c r="E6" s="124"/>
    </row>
    <row r="7" spans="2:5" x14ac:dyDescent="0.2">
      <c r="B7" s="99" t="s">
        <v>59</v>
      </c>
      <c r="C7" s="100">
        <f>'Input Data'!F6+'Input Data'!L18+'Input Data'!H26+'Input Data'!G30</f>
        <v>11.121153846153845</v>
      </c>
      <c r="D7" s="17"/>
      <c r="E7" s="124"/>
    </row>
    <row r="8" spans="2:5" ht="17" thickBot="1" x14ac:dyDescent="0.25">
      <c r="E8" s="125"/>
    </row>
    <row r="9" spans="2:5" ht="17" customHeight="1" x14ac:dyDescent="0.2">
      <c r="B9" s="129" t="s">
        <v>17</v>
      </c>
      <c r="C9" s="129"/>
    </row>
    <row r="10" spans="2:5" ht="17" customHeight="1" x14ac:dyDescent="0.2">
      <c r="B10" s="129"/>
      <c r="C10" s="129"/>
    </row>
    <row r="11" spans="2:5" x14ac:dyDescent="0.2">
      <c r="B11" s="99" t="s">
        <v>70</v>
      </c>
      <c r="C11" s="101">
        <f>'Input Data'!G22</f>
        <v>233750</v>
      </c>
    </row>
    <row r="12" spans="2:5" x14ac:dyDescent="0.2">
      <c r="B12" s="94"/>
      <c r="C12" s="95"/>
    </row>
    <row r="13" spans="2:5" x14ac:dyDescent="0.2">
      <c r="B13" s="129" t="s">
        <v>97</v>
      </c>
      <c r="C13" s="129"/>
    </row>
    <row r="14" spans="2:5" x14ac:dyDescent="0.2">
      <c r="B14" s="129"/>
      <c r="C14" s="129"/>
    </row>
    <row r="15" spans="2:5" x14ac:dyDescent="0.2">
      <c r="B15" s="99" t="s">
        <v>96</v>
      </c>
      <c r="C15" s="102">
        <f>'Input Data'!J38</f>
        <v>156418.35616438356</v>
      </c>
    </row>
    <row r="16" spans="2:5" x14ac:dyDescent="0.2">
      <c r="C16" s="83"/>
      <c r="E16" s="85"/>
    </row>
    <row r="17" spans="2:6" x14ac:dyDescent="0.2">
      <c r="B17" s="129" t="s">
        <v>72</v>
      </c>
      <c r="C17" s="129"/>
    </row>
    <row r="18" spans="2:6" x14ac:dyDescent="0.2">
      <c r="B18" s="129"/>
      <c r="C18" s="129"/>
      <c r="D18" s="82"/>
      <c r="E18" s="82"/>
    </row>
    <row r="19" spans="2:6" x14ac:dyDescent="0.2">
      <c r="B19" s="99" t="s">
        <v>49</v>
      </c>
      <c r="C19" s="103">
        <f>'Input Data'!I10</f>
        <v>440</v>
      </c>
      <c r="D19" s="82"/>
    </row>
    <row r="20" spans="2:6" x14ac:dyDescent="0.2">
      <c r="B20" s="99" t="s">
        <v>73</v>
      </c>
      <c r="C20" s="101">
        <f>'Input Data'!J10</f>
        <v>5500000</v>
      </c>
    </row>
    <row r="21" spans="2:6" x14ac:dyDescent="0.2">
      <c r="B21" s="99" t="s">
        <v>50</v>
      </c>
      <c r="C21" s="103">
        <f>'Input Data'!G14</f>
        <v>27500</v>
      </c>
    </row>
    <row r="22" spans="2:6" x14ac:dyDescent="0.2">
      <c r="B22" s="99" t="s">
        <v>74</v>
      </c>
      <c r="C22" s="101">
        <f>'Input Data'!H14</f>
        <v>242000.00000000003</v>
      </c>
    </row>
    <row r="24" spans="2:6" x14ac:dyDescent="0.2">
      <c r="B24" s="129" t="s">
        <v>66</v>
      </c>
      <c r="C24" s="129"/>
    </row>
    <row r="25" spans="2:6" x14ac:dyDescent="0.2">
      <c r="B25" s="129"/>
      <c r="C25" s="129"/>
      <c r="E25" s="86"/>
    </row>
    <row r="26" spans="2:6" x14ac:dyDescent="0.2">
      <c r="B26" s="99" t="s">
        <v>75</v>
      </c>
      <c r="C26" s="104">
        <f>C6</f>
        <v>22907</v>
      </c>
      <c r="E26" s="84"/>
    </row>
    <row r="27" spans="2:6" x14ac:dyDescent="0.2">
      <c r="B27" s="99" t="s">
        <v>76</v>
      </c>
      <c r="C27" s="101">
        <f>C20+C22+C15+C11</f>
        <v>6132168.3561643837</v>
      </c>
      <c r="E27" s="87"/>
    </row>
    <row r="28" spans="2:6" x14ac:dyDescent="0.2">
      <c r="B28" s="99" t="s">
        <v>77</v>
      </c>
      <c r="C28" s="105">
        <f>C26*35</f>
        <v>801745</v>
      </c>
      <c r="F28" s="84"/>
    </row>
    <row r="29" spans="2:6" x14ac:dyDescent="0.2">
      <c r="B29" s="99" t="s">
        <v>104</v>
      </c>
      <c r="C29" s="106">
        <f>C7</f>
        <v>11.121153846153845</v>
      </c>
      <c r="F29" s="84"/>
    </row>
    <row r="30" spans="2:6" x14ac:dyDescent="0.2">
      <c r="B30" s="99" t="s">
        <v>103</v>
      </c>
      <c r="C30" s="105">
        <f>SUM(('Input Data'!G30+'Input Data'!L18)*(30*2080))</f>
        <v>180960</v>
      </c>
      <c r="F30" s="84"/>
    </row>
    <row r="32" spans="2:6" x14ac:dyDescent="0.2">
      <c r="B32" s="128" t="s">
        <v>67</v>
      </c>
      <c r="C32" s="128"/>
      <c r="E32" s="111"/>
      <c r="F32" s="112"/>
    </row>
    <row r="33" spans="2:6" x14ac:dyDescent="0.2">
      <c r="B33" s="107" t="s">
        <v>106</v>
      </c>
      <c r="C33" s="108">
        <f>'Input Data'!O42*12</f>
        <v>512400</v>
      </c>
      <c r="F33" s="113"/>
    </row>
    <row r="34" spans="2:6" x14ac:dyDescent="0.2">
      <c r="B34" s="107" t="s">
        <v>102</v>
      </c>
      <c r="C34" s="108"/>
      <c r="F34" s="113"/>
    </row>
    <row r="35" spans="2:6" ht="17" customHeight="1" x14ac:dyDescent="0.2">
      <c r="B35" s="109" t="s">
        <v>68</v>
      </c>
      <c r="C35" s="110">
        <f>SUM(((C27/3)+C28+C11+C15)/(C34+C33))</f>
        <v>6.3153190376382602</v>
      </c>
      <c r="E35" s="114"/>
    </row>
    <row r="36" spans="2:6" ht="17" customHeight="1" x14ac:dyDescent="0.2">
      <c r="B36" s="109" t="s">
        <v>69</v>
      </c>
      <c r="C36" s="110">
        <f>SUM(C15+C11+C28)/C33</f>
        <v>2.3261384780725676</v>
      </c>
    </row>
    <row r="37" spans="2:6" ht="17" customHeight="1" x14ac:dyDescent="0.2">
      <c r="B37" s="109" t="s">
        <v>107</v>
      </c>
      <c r="C37" s="110">
        <f>SUM(((C27/3)+C11+C15)/(C34+C33))</f>
        <v>4.750633245288534</v>
      </c>
    </row>
    <row r="38" spans="2:6" x14ac:dyDescent="0.2">
      <c r="B38" s="109" t="s">
        <v>105</v>
      </c>
      <c r="C38" s="110">
        <f>SUM(C15+C11+C30)/C33</f>
        <v>1.1146142782286956</v>
      </c>
    </row>
    <row r="40" spans="2:6" x14ac:dyDescent="0.2">
      <c r="B40" s="126" t="s">
        <v>108</v>
      </c>
      <c r="C40" s="126"/>
    </row>
    <row r="41" spans="2:6" ht="16" customHeight="1" x14ac:dyDescent="0.2">
      <c r="B41" s="127" t="s">
        <v>101</v>
      </c>
      <c r="C41" s="127"/>
      <c r="D41" s="82"/>
      <c r="E41" s="82"/>
    </row>
    <row r="42" spans="2:6" x14ac:dyDescent="0.2">
      <c r="B42" s="127"/>
      <c r="C42" s="127"/>
      <c r="D42" s="82"/>
      <c r="E42" s="82"/>
    </row>
    <row r="43" spans="2:6" x14ac:dyDescent="0.2">
      <c r="B43" s="127"/>
      <c r="C43" s="127"/>
    </row>
    <row r="44" spans="2:6" x14ac:dyDescent="0.2">
      <c r="B44" s="127"/>
      <c r="C44" s="127"/>
    </row>
    <row r="45" spans="2:6" x14ac:dyDescent="0.2">
      <c r="B45" s="127"/>
      <c r="C45" s="127"/>
    </row>
    <row r="46" spans="2:6" x14ac:dyDescent="0.2">
      <c r="B46" s="127"/>
      <c r="C46" s="127"/>
    </row>
    <row r="47" spans="2:6" x14ac:dyDescent="0.2">
      <c r="B47" s="127"/>
      <c r="C47" s="127"/>
    </row>
    <row r="48" spans="2:6" x14ac:dyDescent="0.2">
      <c r="B48" s="127"/>
      <c r="C48" s="127"/>
    </row>
    <row r="54" spans="5:5" ht="24" customHeight="1" x14ac:dyDescent="0.2"/>
    <row r="55" spans="5:5" ht="17" customHeight="1" x14ac:dyDescent="0.2"/>
    <row r="56" spans="5:5" x14ac:dyDescent="0.2">
      <c r="E56" s="18"/>
    </row>
  </sheetData>
  <mergeCells count="9">
    <mergeCell ref="E4:E8"/>
    <mergeCell ref="B40:C40"/>
    <mergeCell ref="B41:C48"/>
    <mergeCell ref="B32:C32"/>
    <mergeCell ref="B17:C18"/>
    <mergeCell ref="B24:C25"/>
    <mergeCell ref="B13:C14"/>
    <mergeCell ref="B4:C5"/>
    <mergeCell ref="B9:C10"/>
  </mergeCells>
  <hyperlinks>
    <hyperlink ref="E4:E8" location="'Input Data'!A1" display="Please review the Notes here" xr:uid="{0852E527-02C0-1041-9731-3A66DA2E2BA5}"/>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DAA87-BB0A-2849-9045-A442634350DE}">
  <dimension ref="B2:Q44"/>
  <sheetViews>
    <sheetView tabSelected="1" topLeftCell="A18" zoomScaleNormal="100" workbookViewId="0">
      <selection activeCell="J45" sqref="J45"/>
    </sheetView>
  </sheetViews>
  <sheetFormatPr baseColWidth="10" defaultRowHeight="16" x14ac:dyDescent="0.2"/>
  <cols>
    <col min="1" max="1" width="10.83203125" style="12"/>
    <col min="2" max="2" width="23" style="12" customWidth="1"/>
    <col min="3" max="3" width="27.83203125" style="12" customWidth="1"/>
    <col min="4" max="4" width="17.5" style="12" bestFit="1" customWidth="1"/>
    <col min="5" max="5" width="22.6640625" style="12" customWidth="1"/>
    <col min="6" max="6" width="22.5" style="12" customWidth="1"/>
    <col min="7" max="7" width="22.33203125" style="12" customWidth="1"/>
    <col min="8" max="8" width="26.5" style="12" customWidth="1"/>
    <col min="9" max="9" width="20.6640625" style="12" customWidth="1"/>
    <col min="10" max="10" width="18.33203125" style="12" customWidth="1"/>
    <col min="11" max="11" width="14.5" style="12" bestFit="1" customWidth="1"/>
    <col min="12" max="12" width="17.83203125" style="12" customWidth="1"/>
    <col min="13" max="13" width="23.83203125" style="12" bestFit="1" customWidth="1"/>
    <col min="14" max="14" width="15.6640625" style="12" customWidth="1"/>
    <col min="15" max="15" width="17.83203125" style="12" customWidth="1"/>
    <col min="16" max="16" width="16.33203125" style="12" bestFit="1" customWidth="1"/>
    <col min="17" max="17" width="14.33203125" style="12" bestFit="1" customWidth="1"/>
    <col min="18" max="16384" width="10.83203125" style="12"/>
  </cols>
  <sheetData>
    <row r="2" spans="2:17" ht="70" customHeight="1" thickBot="1" x14ac:dyDescent="0.25">
      <c r="B2" s="96" t="s">
        <v>98</v>
      </c>
      <c r="C2" s="130" t="s">
        <v>123</v>
      </c>
      <c r="D2" s="130"/>
      <c r="E2" s="130"/>
      <c r="F2" s="130"/>
      <c r="G2" s="130"/>
      <c r="H2" s="130"/>
      <c r="I2" s="130"/>
      <c r="J2" s="130"/>
      <c r="K2" s="130"/>
      <c r="L2" s="130"/>
      <c r="M2" s="130"/>
      <c r="N2" s="130"/>
      <c r="O2" s="130"/>
      <c r="P2" s="130"/>
      <c r="Q2" s="130"/>
    </row>
    <row r="3" spans="2:17" ht="17" thickBot="1" x14ac:dyDescent="0.25"/>
    <row r="4" spans="2:17" ht="17" x14ac:dyDescent="0.2">
      <c r="B4" s="19" t="s">
        <v>16</v>
      </c>
      <c r="C4" s="20"/>
      <c r="D4" s="20"/>
      <c r="E4" s="20"/>
      <c r="F4" s="20"/>
      <c r="G4" s="20"/>
      <c r="H4" s="20"/>
      <c r="I4" s="20"/>
      <c r="J4" s="20"/>
      <c r="K4" s="20"/>
      <c r="L4" s="20"/>
      <c r="M4" s="20"/>
      <c r="N4" s="20"/>
      <c r="O4" s="20"/>
      <c r="P4" s="20"/>
      <c r="Q4" s="21"/>
    </row>
    <row r="5" spans="2:17" ht="34" x14ac:dyDescent="0.2">
      <c r="B5" s="22"/>
      <c r="C5" s="1" t="s">
        <v>0</v>
      </c>
      <c r="D5" s="1" t="s">
        <v>1</v>
      </c>
      <c r="E5" s="1" t="s">
        <v>2</v>
      </c>
      <c r="F5" s="1" t="s">
        <v>3</v>
      </c>
      <c r="G5" s="1" t="s">
        <v>13</v>
      </c>
      <c r="H5" s="1" t="s">
        <v>4</v>
      </c>
      <c r="I5" s="1" t="s">
        <v>46</v>
      </c>
      <c r="J5" s="1" t="s">
        <v>47</v>
      </c>
      <c r="K5" s="1" t="s">
        <v>44</v>
      </c>
      <c r="L5" s="1" t="s">
        <v>48</v>
      </c>
      <c r="M5" s="1"/>
      <c r="N5" s="1"/>
      <c r="O5" s="1"/>
      <c r="P5" s="1"/>
      <c r="Q5" s="2"/>
    </row>
    <row r="6" spans="2:17" ht="17" thickBot="1" x14ac:dyDescent="0.25">
      <c r="B6" s="23"/>
      <c r="C6" s="24">
        <v>7500</v>
      </c>
      <c r="D6" s="25">
        <v>12</v>
      </c>
      <c r="E6" s="26">
        <f>SUM(D6*C6)/60</f>
        <v>1500</v>
      </c>
      <c r="F6" s="26">
        <f>E6/2080</f>
        <v>0.72115384615384615</v>
      </c>
      <c r="G6" s="27">
        <v>60000</v>
      </c>
      <c r="H6" s="28">
        <f>G6*F6</f>
        <v>43269.230769230766</v>
      </c>
      <c r="I6" s="29">
        <v>0.85</v>
      </c>
      <c r="J6" s="28">
        <f>E6*I6</f>
        <v>1275</v>
      </c>
      <c r="K6" s="28">
        <f>J6/2080</f>
        <v>0.61298076923076927</v>
      </c>
      <c r="L6" s="28">
        <f>G6*K6</f>
        <v>36778.846153846156</v>
      </c>
      <c r="M6" s="30"/>
      <c r="N6" s="30"/>
      <c r="O6" s="30"/>
      <c r="P6" s="30"/>
      <c r="Q6" s="31"/>
    </row>
    <row r="7" spans="2:17" ht="17" thickBot="1" x14ac:dyDescent="0.25"/>
    <row r="8" spans="2:17" ht="17" x14ac:dyDescent="0.2">
      <c r="B8" s="32" t="s">
        <v>15</v>
      </c>
      <c r="C8" s="33"/>
      <c r="D8" s="33"/>
      <c r="E8" s="33"/>
      <c r="F8" s="33"/>
      <c r="G8" s="33"/>
      <c r="H8" s="33"/>
      <c r="I8" s="33"/>
      <c r="J8" s="33"/>
      <c r="K8" s="33"/>
      <c r="L8" s="33"/>
      <c r="M8" s="33"/>
      <c r="N8" s="33"/>
      <c r="O8" s="33"/>
      <c r="P8" s="33"/>
      <c r="Q8" s="34"/>
    </row>
    <row r="9" spans="2:17" ht="34" x14ac:dyDescent="0.2">
      <c r="B9" s="35"/>
      <c r="C9" s="3" t="s">
        <v>5</v>
      </c>
      <c r="D9" s="3" t="s">
        <v>6</v>
      </c>
      <c r="E9" s="3" t="s">
        <v>7</v>
      </c>
      <c r="F9" s="3" t="s">
        <v>8</v>
      </c>
      <c r="G9" s="3" t="s">
        <v>9</v>
      </c>
      <c r="H9" s="3" t="s">
        <v>10</v>
      </c>
      <c r="I9" s="3" t="s">
        <v>11</v>
      </c>
      <c r="J9" s="3" t="s">
        <v>12</v>
      </c>
      <c r="K9" s="3"/>
      <c r="L9" s="3"/>
      <c r="M9" s="3"/>
      <c r="N9" s="3"/>
      <c r="O9" s="3"/>
      <c r="P9" s="3"/>
      <c r="Q9" s="4"/>
    </row>
    <row r="10" spans="2:17" ht="17" thickBot="1" x14ac:dyDescent="0.25">
      <c r="B10" s="36"/>
      <c r="C10" s="37">
        <v>2200</v>
      </c>
      <c r="D10" s="27">
        <v>12500</v>
      </c>
      <c r="E10" s="28">
        <f>C10*D10</f>
        <v>27500000</v>
      </c>
      <c r="F10" s="38">
        <v>20</v>
      </c>
      <c r="G10" s="39">
        <f>F10*12</f>
        <v>240</v>
      </c>
      <c r="H10" s="40">
        <v>0.2</v>
      </c>
      <c r="I10" s="39">
        <f>C10*H10</f>
        <v>440</v>
      </c>
      <c r="J10" s="28">
        <f>I10*D10</f>
        <v>5500000</v>
      </c>
      <c r="K10" s="41"/>
      <c r="L10" s="41"/>
      <c r="M10" s="41"/>
      <c r="N10" s="41"/>
      <c r="O10" s="41"/>
      <c r="P10" s="41"/>
      <c r="Q10" s="42"/>
    </row>
    <row r="11" spans="2:17" ht="17" thickBot="1" x14ac:dyDescent="0.25"/>
    <row r="12" spans="2:17" ht="17" x14ac:dyDescent="0.2">
      <c r="B12" s="43" t="s">
        <v>14</v>
      </c>
      <c r="C12" s="44"/>
      <c r="D12" s="44"/>
      <c r="E12" s="44"/>
      <c r="F12" s="44"/>
      <c r="G12" s="44"/>
      <c r="H12" s="44"/>
      <c r="I12" s="44"/>
      <c r="J12" s="44"/>
      <c r="K12" s="44"/>
      <c r="L12" s="44"/>
      <c r="M12" s="44"/>
      <c r="N12" s="44"/>
      <c r="O12" s="44"/>
      <c r="P12" s="44"/>
      <c r="Q12" s="45"/>
    </row>
    <row r="13" spans="2:17" ht="34" x14ac:dyDescent="0.2">
      <c r="B13" s="46"/>
      <c r="C13" s="5" t="s">
        <v>18</v>
      </c>
      <c r="D13" s="5" t="s">
        <v>19</v>
      </c>
      <c r="E13" s="5" t="s">
        <v>20</v>
      </c>
      <c r="F13" s="5" t="s">
        <v>21</v>
      </c>
      <c r="G13" s="5" t="s">
        <v>23</v>
      </c>
      <c r="H13" s="5" t="s">
        <v>22</v>
      </c>
      <c r="I13" s="5"/>
      <c r="J13" s="5"/>
      <c r="K13" s="5"/>
      <c r="L13" s="5"/>
      <c r="M13" s="5"/>
      <c r="N13" s="5"/>
      <c r="O13" s="5"/>
      <c r="P13" s="5"/>
      <c r="Q13" s="6"/>
    </row>
    <row r="14" spans="2:17" ht="17" thickBot="1" x14ac:dyDescent="0.25">
      <c r="B14" s="47"/>
      <c r="C14" s="37">
        <f>C10*50</f>
        <v>110000</v>
      </c>
      <c r="D14" s="27">
        <f>C14/D10</f>
        <v>8.8000000000000007</v>
      </c>
      <c r="E14" s="28">
        <f>C14*D14</f>
        <v>968000.00000000012</v>
      </c>
      <c r="F14" s="53">
        <v>0.25</v>
      </c>
      <c r="G14" s="39">
        <f>C14*F14</f>
        <v>27500</v>
      </c>
      <c r="H14" s="73">
        <f>G14*D14</f>
        <v>242000.00000000003</v>
      </c>
      <c r="I14" s="48"/>
      <c r="J14" s="41"/>
      <c r="K14" s="41"/>
      <c r="L14" s="41"/>
      <c r="M14" s="30"/>
      <c r="N14" s="30"/>
      <c r="O14" s="30"/>
      <c r="P14" s="30"/>
      <c r="Q14" s="31"/>
    </row>
    <row r="15" spans="2:17" ht="17" thickBot="1" x14ac:dyDescent="0.25"/>
    <row r="16" spans="2:17" ht="17" x14ac:dyDescent="0.2">
      <c r="B16" s="7" t="s">
        <v>24</v>
      </c>
      <c r="C16" s="49"/>
      <c r="D16" s="49"/>
      <c r="E16" s="49"/>
      <c r="F16" s="49"/>
      <c r="G16" s="49"/>
      <c r="H16" s="49"/>
      <c r="I16" s="49"/>
      <c r="J16" s="49"/>
      <c r="K16" s="49"/>
      <c r="L16" s="49"/>
      <c r="M16" s="49"/>
      <c r="N16" s="49"/>
      <c r="O16" s="49"/>
      <c r="P16" s="49"/>
      <c r="Q16" s="50"/>
    </row>
    <row r="17" spans="2:17" ht="34" x14ac:dyDescent="0.2">
      <c r="B17" s="51"/>
      <c r="C17" s="8" t="s">
        <v>25</v>
      </c>
      <c r="D17" s="8" t="s">
        <v>26</v>
      </c>
      <c r="E17" s="8" t="s">
        <v>32</v>
      </c>
      <c r="F17" s="8" t="s">
        <v>31</v>
      </c>
      <c r="G17" s="8" t="s">
        <v>30</v>
      </c>
      <c r="H17" s="8" t="s">
        <v>33</v>
      </c>
      <c r="I17" s="8" t="s">
        <v>39</v>
      </c>
      <c r="J17" s="8" t="s">
        <v>27</v>
      </c>
      <c r="K17" s="8" t="s">
        <v>40</v>
      </c>
      <c r="L17" s="8" t="s">
        <v>45</v>
      </c>
      <c r="M17" s="8" t="s">
        <v>34</v>
      </c>
      <c r="N17" s="8" t="s">
        <v>28</v>
      </c>
      <c r="O17" s="8" t="s">
        <v>41</v>
      </c>
      <c r="P17" s="8" t="s">
        <v>29</v>
      </c>
      <c r="Q17" s="9" t="s">
        <v>42</v>
      </c>
    </row>
    <row r="18" spans="2:17" ht="17" thickBot="1" x14ac:dyDescent="0.25">
      <c r="B18" s="52"/>
      <c r="C18" s="39">
        <f>F10</f>
        <v>20</v>
      </c>
      <c r="D18" s="39">
        <f>C6/12</f>
        <v>625</v>
      </c>
      <c r="E18" s="25">
        <v>45</v>
      </c>
      <c r="F18" s="25">
        <v>10</v>
      </c>
      <c r="G18" s="26">
        <f>SUM(C18*E18)/60</f>
        <v>15</v>
      </c>
      <c r="H18" s="26">
        <f>SUM(D18*F18)/60</f>
        <v>104.16666666666667</v>
      </c>
      <c r="I18" s="26">
        <f>SUM(G18+H18)*12</f>
        <v>1430</v>
      </c>
      <c r="J18" s="53">
        <v>0.4</v>
      </c>
      <c r="K18" s="26">
        <f>I18*J18</f>
        <v>572</v>
      </c>
      <c r="L18" s="26">
        <f>K18/2080</f>
        <v>0.27500000000000002</v>
      </c>
      <c r="M18" s="27">
        <f>55000/2080</f>
        <v>26.442307692307693</v>
      </c>
      <c r="N18" s="28">
        <f>SUM(G18+H18)*M18</f>
        <v>3151.041666666667</v>
      </c>
      <c r="O18" s="28">
        <f>N18*12</f>
        <v>37812.5</v>
      </c>
      <c r="P18" s="74">
        <f>N18*J18</f>
        <v>1260.416666666667</v>
      </c>
      <c r="Q18" s="75">
        <f>O18*J18</f>
        <v>15125</v>
      </c>
    </row>
    <row r="19" spans="2:17" ht="17" thickBot="1" x14ac:dyDescent="0.25"/>
    <row r="20" spans="2:17" ht="17" x14ac:dyDescent="0.2">
      <c r="B20" s="54" t="s">
        <v>17</v>
      </c>
      <c r="C20" s="55"/>
      <c r="D20" s="55"/>
      <c r="E20" s="55"/>
      <c r="F20" s="55"/>
      <c r="G20" s="55"/>
      <c r="H20" s="55"/>
      <c r="I20" s="55"/>
      <c r="J20" s="55"/>
      <c r="K20" s="55"/>
      <c r="L20" s="55"/>
      <c r="M20" s="55"/>
      <c r="N20" s="55"/>
      <c r="O20" s="55"/>
      <c r="P20" s="55"/>
      <c r="Q20" s="56"/>
    </row>
    <row r="21" spans="2:17" ht="34" x14ac:dyDescent="0.2">
      <c r="B21" s="57"/>
      <c r="C21" s="10" t="s">
        <v>35</v>
      </c>
      <c r="D21" s="10" t="s">
        <v>36</v>
      </c>
      <c r="E21" s="10" t="s">
        <v>37</v>
      </c>
      <c r="F21" s="10" t="s">
        <v>51</v>
      </c>
      <c r="G21" s="10" t="s">
        <v>38</v>
      </c>
      <c r="H21" s="10" t="s">
        <v>52</v>
      </c>
      <c r="I21" s="10"/>
      <c r="J21" s="10"/>
      <c r="K21" s="10"/>
      <c r="L21" s="10"/>
      <c r="M21" s="10"/>
      <c r="N21" s="10"/>
      <c r="O21" s="10"/>
      <c r="P21" s="10"/>
      <c r="Q21" s="11"/>
    </row>
    <row r="22" spans="2:17" ht="17" thickBot="1" x14ac:dyDescent="0.25">
      <c r="B22" s="58"/>
      <c r="C22" s="38">
        <v>17000</v>
      </c>
      <c r="D22" s="27">
        <v>55</v>
      </c>
      <c r="E22" s="28">
        <f>C22*D22</f>
        <v>935000</v>
      </c>
      <c r="F22" s="53">
        <v>0.25</v>
      </c>
      <c r="G22" s="28">
        <f>E22*F22</f>
        <v>233750</v>
      </c>
      <c r="H22" s="73">
        <f>SUM(D22-(D22*F22))</f>
        <v>41.25</v>
      </c>
      <c r="I22" s="30"/>
      <c r="J22" s="30"/>
      <c r="K22" s="30"/>
      <c r="L22" s="30"/>
      <c r="M22" s="30"/>
      <c r="N22" s="30"/>
      <c r="O22" s="30"/>
      <c r="P22" s="30"/>
      <c r="Q22" s="31"/>
    </row>
    <row r="23" spans="2:17" ht="17" thickBot="1" x14ac:dyDescent="0.25"/>
    <row r="24" spans="2:17" ht="17" x14ac:dyDescent="0.2">
      <c r="B24" s="13" t="s">
        <v>53</v>
      </c>
      <c r="C24" s="60"/>
      <c r="D24" s="60"/>
      <c r="E24" s="60"/>
      <c r="F24" s="60"/>
      <c r="G24" s="60"/>
      <c r="H24" s="60"/>
      <c r="I24" s="60"/>
      <c r="J24" s="60"/>
      <c r="K24" s="60"/>
      <c r="L24" s="60"/>
      <c r="M24" s="60"/>
      <c r="N24" s="60"/>
      <c r="O24" s="60"/>
      <c r="P24" s="60"/>
      <c r="Q24" s="61"/>
    </row>
    <row r="25" spans="2:17" ht="17" x14ac:dyDescent="0.2">
      <c r="B25" s="62"/>
      <c r="C25" s="14" t="s">
        <v>54</v>
      </c>
      <c r="D25" s="14" t="s">
        <v>55</v>
      </c>
      <c r="E25" s="14" t="s">
        <v>60</v>
      </c>
      <c r="F25" s="14" t="s">
        <v>61</v>
      </c>
      <c r="G25" s="14" t="s">
        <v>62</v>
      </c>
      <c r="H25" s="14" t="s">
        <v>63</v>
      </c>
      <c r="I25" s="63"/>
      <c r="J25" s="63"/>
      <c r="K25" s="63"/>
      <c r="L25" s="63"/>
      <c r="M25" s="63"/>
      <c r="N25" s="63"/>
      <c r="O25" s="63"/>
      <c r="P25" s="63"/>
      <c r="Q25" s="64"/>
    </row>
    <row r="26" spans="2:17" ht="17" thickBot="1" x14ac:dyDescent="0.25">
      <c r="B26" s="65"/>
      <c r="C26" s="25">
        <v>2</v>
      </c>
      <c r="D26" s="38">
        <v>375</v>
      </c>
      <c r="E26" s="53">
        <v>0.4</v>
      </c>
      <c r="F26" s="26">
        <f>SUM(D26*E26)*C26</f>
        <v>300</v>
      </c>
      <c r="G26" s="26">
        <f>F26*52</f>
        <v>15600</v>
      </c>
      <c r="H26" s="26">
        <f>G26/2080</f>
        <v>7.5</v>
      </c>
      <c r="I26" s="30"/>
      <c r="J26" s="30"/>
      <c r="K26" s="30"/>
      <c r="L26" s="30"/>
      <c r="M26" s="30"/>
      <c r="N26" s="30"/>
      <c r="O26" s="30"/>
      <c r="P26" s="30"/>
      <c r="Q26" s="31"/>
    </row>
    <row r="27" spans="2:17" ht="17" thickBot="1" x14ac:dyDescent="0.25"/>
    <row r="28" spans="2:17" ht="17" x14ac:dyDescent="0.2">
      <c r="B28" s="66" t="s">
        <v>56</v>
      </c>
      <c r="C28" s="67"/>
      <c r="D28" s="67"/>
      <c r="E28" s="67"/>
      <c r="F28" s="67"/>
      <c r="G28" s="67"/>
      <c r="H28" s="67"/>
      <c r="I28" s="67"/>
      <c r="J28" s="67"/>
      <c r="K28" s="67"/>
      <c r="L28" s="67"/>
      <c r="M28" s="67"/>
      <c r="N28" s="67"/>
      <c r="O28" s="67"/>
      <c r="P28" s="67"/>
      <c r="Q28" s="68"/>
    </row>
    <row r="29" spans="2:17" ht="34" x14ac:dyDescent="0.2">
      <c r="B29" s="69"/>
      <c r="C29" s="15" t="s">
        <v>64</v>
      </c>
      <c r="D29" s="15" t="s">
        <v>57</v>
      </c>
      <c r="E29" s="15" t="s">
        <v>65</v>
      </c>
      <c r="F29" s="15" t="s">
        <v>58</v>
      </c>
      <c r="G29" s="15" t="s">
        <v>63</v>
      </c>
      <c r="H29" s="70"/>
      <c r="I29" s="70"/>
      <c r="J29" s="70"/>
      <c r="K29" s="70"/>
      <c r="L29" s="70"/>
      <c r="M29" s="70"/>
      <c r="N29" s="70"/>
      <c r="O29" s="70"/>
      <c r="P29" s="70"/>
      <c r="Q29" s="71"/>
    </row>
    <row r="30" spans="2:17" ht="17" thickBot="1" x14ac:dyDescent="0.25">
      <c r="B30" s="72"/>
      <c r="C30" s="37">
        <v>3</v>
      </c>
      <c r="D30" s="39">
        <f>SUM(F42:J42)</f>
        <v>35</v>
      </c>
      <c r="E30" s="26">
        <f>D30*C30</f>
        <v>105</v>
      </c>
      <c r="F30" s="26">
        <f>E30*52</f>
        <v>5460</v>
      </c>
      <c r="G30" s="26">
        <f>F30/2080</f>
        <v>2.625</v>
      </c>
      <c r="H30" s="30"/>
      <c r="I30" s="30"/>
      <c r="J30" s="30"/>
      <c r="K30" s="30"/>
      <c r="L30" s="30"/>
      <c r="M30" s="30"/>
      <c r="N30" s="30"/>
      <c r="O30" s="30"/>
      <c r="P30" s="30"/>
      <c r="Q30" s="31"/>
    </row>
    <row r="31" spans="2:17" ht="17" thickBot="1" x14ac:dyDescent="0.25"/>
    <row r="32" spans="2:17" ht="17" x14ac:dyDescent="0.2">
      <c r="B32" s="76" t="s">
        <v>78</v>
      </c>
      <c r="C32" s="33"/>
      <c r="D32" s="33"/>
      <c r="E32" s="33"/>
      <c r="F32" s="33"/>
      <c r="G32" s="33"/>
      <c r="H32" s="33"/>
      <c r="I32" s="33"/>
      <c r="J32" s="33"/>
      <c r="K32" s="33"/>
      <c r="L32" s="33"/>
      <c r="M32" s="33"/>
      <c r="N32" s="33"/>
      <c r="O32" s="33"/>
      <c r="P32" s="33"/>
      <c r="Q32" s="34"/>
    </row>
    <row r="33" spans="2:17" ht="34" x14ac:dyDescent="0.2">
      <c r="B33" s="35"/>
      <c r="C33" s="77" t="s">
        <v>80</v>
      </c>
      <c r="D33" s="77" t="s">
        <v>79</v>
      </c>
      <c r="E33" s="78" t="s">
        <v>82</v>
      </c>
      <c r="F33" s="77" t="s">
        <v>83</v>
      </c>
      <c r="G33" s="77" t="s">
        <v>81</v>
      </c>
      <c r="H33" s="77" t="s">
        <v>84</v>
      </c>
      <c r="I33" s="77" t="s">
        <v>85</v>
      </c>
      <c r="J33" s="77" t="s">
        <v>86</v>
      </c>
      <c r="K33" s="77" t="s">
        <v>87</v>
      </c>
      <c r="L33" s="77"/>
      <c r="M33" s="77"/>
      <c r="N33" s="77"/>
      <c r="O33" s="77"/>
      <c r="P33" s="77"/>
      <c r="Q33" s="79"/>
    </row>
    <row r="34" spans="2:17" ht="17" thickBot="1" x14ac:dyDescent="0.25">
      <c r="B34" s="36"/>
      <c r="C34" s="38">
        <v>20000</v>
      </c>
      <c r="D34" s="80">
        <v>250</v>
      </c>
      <c r="E34" s="53">
        <v>0.1</v>
      </c>
      <c r="F34" s="39">
        <f>C34*E34</f>
        <v>2000</v>
      </c>
      <c r="G34" s="59">
        <f>SUM(C34*E34)*D34</f>
        <v>500000</v>
      </c>
      <c r="H34" s="53">
        <v>0.7</v>
      </c>
      <c r="I34" s="81">
        <f>E34*(1-H34)</f>
        <v>3.0000000000000006E-2</v>
      </c>
      <c r="J34" s="28">
        <f>SUM((C34*I34)*D34)</f>
        <v>150000.00000000003</v>
      </c>
      <c r="K34" s="28">
        <f>G34-J34</f>
        <v>350000</v>
      </c>
      <c r="L34" s="30"/>
      <c r="M34" s="30"/>
      <c r="N34" s="30"/>
      <c r="O34" s="30"/>
      <c r="P34" s="30"/>
      <c r="Q34" s="31"/>
    </row>
    <row r="35" spans="2:17" ht="17" thickBot="1" x14ac:dyDescent="0.25"/>
    <row r="36" spans="2:17" ht="17" x14ac:dyDescent="0.2">
      <c r="B36" s="19" t="s">
        <v>88</v>
      </c>
      <c r="C36" s="20"/>
      <c r="D36" s="20"/>
      <c r="E36" s="20"/>
      <c r="F36" s="20"/>
      <c r="G36" s="20"/>
      <c r="H36" s="20"/>
      <c r="I36" s="20"/>
      <c r="J36" s="20"/>
      <c r="K36" s="20"/>
      <c r="L36" s="20"/>
      <c r="M36" s="20"/>
      <c r="N36" s="20"/>
      <c r="O36" s="20"/>
      <c r="P36" s="20"/>
      <c r="Q36" s="21"/>
    </row>
    <row r="37" spans="2:17" ht="17" x14ac:dyDescent="0.2">
      <c r="B37" s="22"/>
      <c r="C37" s="88" t="s">
        <v>89</v>
      </c>
      <c r="D37" s="89" t="s">
        <v>100</v>
      </c>
      <c r="E37" s="89" t="s">
        <v>92</v>
      </c>
      <c r="F37" s="89" t="s">
        <v>93</v>
      </c>
      <c r="G37" s="89" t="s">
        <v>94</v>
      </c>
      <c r="H37" s="88" t="s">
        <v>90</v>
      </c>
      <c r="I37" s="88" t="s">
        <v>91</v>
      </c>
      <c r="J37" s="88" t="s">
        <v>95</v>
      </c>
      <c r="K37" s="90"/>
      <c r="L37" s="90"/>
      <c r="M37" s="90"/>
      <c r="N37" s="90"/>
      <c r="O37" s="90"/>
      <c r="P37" s="90"/>
      <c r="Q37" s="91"/>
    </row>
    <row r="38" spans="2:17" ht="17" thickBot="1" x14ac:dyDescent="0.25">
      <c r="B38" s="23"/>
      <c r="C38" s="26">
        <f>C6/12</f>
        <v>625</v>
      </c>
      <c r="D38" s="80">
        <v>6200</v>
      </c>
      <c r="E38" s="92">
        <v>8.77E-2</v>
      </c>
      <c r="F38" s="93">
        <f>E38/365</f>
        <v>2.4027397260273971E-4</v>
      </c>
      <c r="G38" s="25">
        <v>14</v>
      </c>
      <c r="H38" s="28">
        <f>D38*F38*G38</f>
        <v>20.855780821917808</v>
      </c>
      <c r="I38" s="28">
        <f>C38*D38*F38*G38</f>
        <v>13034.86301369863</v>
      </c>
      <c r="J38" s="28">
        <f>I38*12</f>
        <v>156418.35616438356</v>
      </c>
      <c r="K38" s="30"/>
      <c r="L38" s="30"/>
      <c r="M38" s="30"/>
      <c r="N38" s="30"/>
      <c r="O38" s="30"/>
      <c r="P38" s="30"/>
      <c r="Q38" s="31"/>
    </row>
    <row r="39" spans="2:17" ht="17" thickBot="1" x14ac:dyDescent="0.25"/>
    <row r="40" spans="2:17" ht="17" x14ac:dyDescent="0.2">
      <c r="B40" s="120" t="s">
        <v>109</v>
      </c>
      <c r="C40" s="115"/>
      <c r="D40" s="115"/>
      <c r="E40" s="115"/>
      <c r="F40" s="115"/>
      <c r="G40" s="115"/>
      <c r="H40" s="115"/>
      <c r="I40" s="115"/>
      <c r="J40" s="115"/>
      <c r="K40" s="131" t="s">
        <v>122</v>
      </c>
      <c r="L40" s="131"/>
      <c r="M40" s="131"/>
      <c r="N40" s="131"/>
      <c r="O40" s="131"/>
      <c r="P40" s="131"/>
      <c r="Q40" s="132"/>
    </row>
    <row r="41" spans="2:17" ht="17" x14ac:dyDescent="0.2">
      <c r="B41" s="116"/>
      <c r="C41" s="118" t="s">
        <v>110</v>
      </c>
      <c r="D41" s="118" t="s">
        <v>111</v>
      </c>
      <c r="E41" s="118" t="s">
        <v>112</v>
      </c>
      <c r="F41" s="118" t="s">
        <v>113</v>
      </c>
      <c r="G41" s="118" t="s">
        <v>114</v>
      </c>
      <c r="H41" s="118" t="s">
        <v>97</v>
      </c>
      <c r="I41" s="118" t="s">
        <v>115</v>
      </c>
      <c r="J41" s="118" t="s">
        <v>116</v>
      </c>
      <c r="K41" s="118" t="s">
        <v>117</v>
      </c>
      <c r="L41" s="118" t="s">
        <v>118</v>
      </c>
      <c r="M41" s="118" t="s">
        <v>119</v>
      </c>
      <c r="N41" s="118" t="s">
        <v>120</v>
      </c>
      <c r="O41" s="121" t="s">
        <v>121</v>
      </c>
      <c r="P41" s="118"/>
      <c r="Q41" s="119"/>
    </row>
    <row r="42" spans="2:17" ht="17" thickBot="1" x14ac:dyDescent="0.25">
      <c r="B42" s="117"/>
      <c r="C42" s="25">
        <v>125</v>
      </c>
      <c r="D42" s="25">
        <v>70</v>
      </c>
      <c r="E42" s="25">
        <v>6</v>
      </c>
      <c r="F42" s="25">
        <v>10</v>
      </c>
      <c r="G42" s="25">
        <v>6</v>
      </c>
      <c r="H42" s="25">
        <v>4</v>
      </c>
      <c r="I42" s="25">
        <v>10</v>
      </c>
      <c r="J42" s="25">
        <v>5</v>
      </c>
      <c r="K42" s="122">
        <f>C42*150</f>
        <v>18750</v>
      </c>
      <c r="L42" s="122">
        <f>D42*200</f>
        <v>14000</v>
      </c>
      <c r="M42" s="122">
        <f>E42*200</f>
        <v>1200</v>
      </c>
      <c r="N42" s="122">
        <f>SUM(F42+G42+H42+I42+J42)*250</f>
        <v>8750</v>
      </c>
      <c r="O42" s="122">
        <f>SUM(K42:N42)</f>
        <v>42700</v>
      </c>
      <c r="P42" s="30"/>
      <c r="Q42" s="31"/>
    </row>
    <row r="44" spans="2:17" ht="34" customHeight="1" x14ac:dyDescent="0.2">
      <c r="B44" s="133" t="s">
        <v>124</v>
      </c>
      <c r="C44" s="133"/>
      <c r="D44" s="133"/>
      <c r="E44" s="133"/>
      <c r="F44" s="133"/>
      <c r="G44" s="133"/>
      <c r="H44" s="133"/>
      <c r="I44" s="133"/>
      <c r="J44" s="133"/>
      <c r="K44" s="133"/>
      <c r="L44" s="133"/>
    </row>
  </sheetData>
  <mergeCells count="3">
    <mergeCell ref="C2:Q2"/>
    <mergeCell ref="K40:Q40"/>
    <mergeCell ref="B44:L4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ROI Dashboard</vt:lpstr>
      <vt:lpstr>Input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Riedel</dc:creator>
  <cp:lastModifiedBy>Chris Riedel</cp:lastModifiedBy>
  <dcterms:created xsi:type="dcterms:W3CDTF">2024-05-10T12:59:31Z</dcterms:created>
  <dcterms:modified xsi:type="dcterms:W3CDTF">2025-01-27T17:33:07Z</dcterms:modified>
</cp:coreProperties>
</file>